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9_サノフィ_MM\12_詳細仕様\"/>
    </mc:Choice>
  </mc:AlternateContent>
  <bookViews>
    <workbookView minimized="1" xWindow="0" yWindow="0" windowWidth="23040" windowHeight="8730" tabRatio="891" firstSheet="4" activeTab="6"/>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5" r:id="rId6"/>
    <sheet name="エンティティ一覧" sheetId="25" r:id="rId7"/>
    <sheet name="バックアップ_疾患データ_組み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65" r:id="rId75"/>
    <sheet name="バックアップ_MML_検歴情報モジュール_報告コメント" sheetId="366" r:id="rId76"/>
    <sheet name="バックアップ_MML_検歴情報モジュール_検体検査結果情報" sheetId="367" r:id="rId77"/>
    <sheet name="バックアップ_MML_検歴情報モジュール_検体コメント" sheetId="368" r:id="rId78"/>
    <sheet name="バックアップ_MML_検歴情報モジュール_検査項目" sheetId="369" r:id="rId79"/>
    <sheet name="バックアップ_MML_検歴情報モジュール_検査項目コメント" sheetId="370"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358" r:id="rId155"/>
    <sheet name="組入れ_対象疾患" sheetId="189" r:id="rId156"/>
    <sheet name="組入れ_対象診療行為" sheetId="361" r:id="rId157"/>
    <sheet name="組入れ_検体検査マスタ" sheetId="362" r:id="rId158"/>
    <sheet name="組入れ_対象検体検査" sheetId="360" r:id="rId159"/>
    <sheet name="組入れ_対象検体検査_対象患者" sheetId="377" r:id="rId160"/>
    <sheet name="組入れ_対象患者" sheetId="188" r:id="rId161"/>
    <sheet name="患者ID一覧マスタ" sheetId="364" r:id="rId162"/>
    <sheet name="施設マスタ" sheetId="363" r:id="rId163"/>
    <sheet name="患者マスタ" sheetId="190" r:id="rId164"/>
    <sheet name="疾患マスタ" sheetId="191" r:id="rId165"/>
    <sheet name="薬剤マスタ" sheetId="380" r:id="rId166"/>
    <sheet name="検体検査マスタ" sheetId="379" r:id="rId167"/>
    <sheet name="診療行為マスタ" sheetId="378" r:id="rId168"/>
    <sheet name="ベース_処方データ" sheetId="348" r:id="rId169"/>
    <sheet name="ベース_診療行為データ" sheetId="349"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71" r:id="rId176"/>
    <sheet name="ベース_MML_検歴情報モジュール_報告コメント" sheetId="372" r:id="rId177"/>
    <sheet name="ベース_MML_検歴情報モジュール_検体検査結果情報" sheetId="373" r:id="rId178"/>
    <sheet name="ベース_MML_検歴情報モジュール_検体コメント" sheetId="374" r:id="rId179"/>
    <sheet name="ベース_MML_検歴情報モジュール_検査項目" sheetId="375" r:id="rId180"/>
    <sheet name="ベース_MML_検歴情報モジュール_検査項目コメント" sheetId="376"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ベース_バイタルサインモジュール_バイタルサイン" sheetId="381" r:id="rId205"/>
    <sheet name="ベース_バイタルサインモジュール_記録項目" sheetId="382" r:id="rId206"/>
    <sheet name="ベース_体温表モジュール_バイタルサイン" sheetId="383" r:id="rId207"/>
    <sheet name="ベース_体温表モジュール_記録項目" sheetId="384" r:id="rId208"/>
    <sheet name="ワーク_患者基本データ" sheetId="386" r:id="rId209"/>
    <sheet name="ワーク_疾患データ" sheetId="387" r:id="rId210"/>
    <sheet name="ワーク_入院退院_DPC" sheetId="388" r:id="rId211"/>
    <sheet name="ワーク_入院退院_MML" sheetId="389" r:id="rId212"/>
    <sheet name="ワーク_入院退院" sheetId="390" r:id="rId213"/>
    <sheet name="ワーク_外来_DPC" sheetId="391" r:id="rId214"/>
    <sheet name="ワーク_外来_MML" sheetId="392" r:id="rId215"/>
    <sheet name="ワーク_外来" sheetId="393" r:id="rId216"/>
    <sheet name="ワーク_処方データ" sheetId="394" r:id="rId217"/>
    <sheet name="ワーク_診療行為データ" sheetId="395" r:id="rId218"/>
    <sheet name="ワーク_検体検査データ_スキーマ2" sheetId="396" r:id="rId219"/>
    <sheet name="ワーク_検体検査データ_スキーマ4" sheetId="397" r:id="rId220"/>
    <sheet name="ワーク_検体検査データ" sheetId="398" r:id="rId221"/>
    <sheet name="ワーク_身長体重データ_DPC" sheetId="401" r:id="rId222"/>
    <sheet name="ワーク_身長体重データ_MML" sheetId="402" r:id="rId223"/>
    <sheet name="ワーク_身長体重データ" sheetId="403" r:id="rId224"/>
    <sheet name="ワーク_テキスト情報_一時" sheetId="399" r:id="rId225"/>
    <sheet name="ワーク_テキスト情報" sheetId="400" r:id="rId226"/>
    <sheet name="ワーク_観察期間" sheetId="404" r:id="rId227"/>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4" i="402" l="1"/>
  <c r="AJ20" i="398"/>
  <c r="T20" i="398"/>
  <c r="S20" i="398"/>
  <c r="R20" i="398"/>
  <c r="P20" i="398"/>
  <c r="G20" i="398"/>
  <c r="Q20" i="398" s="1"/>
  <c r="B20" i="398"/>
  <c r="AJ20" i="397"/>
  <c r="T20" i="397"/>
  <c r="S20" i="397"/>
  <c r="R20" i="397"/>
  <c r="P20" i="397"/>
  <c r="G20" i="397"/>
  <c r="Q20" i="397" s="1"/>
  <c r="B20" i="397"/>
  <c r="AJ20" i="396"/>
  <c r="T20" i="396"/>
  <c r="S20" i="396"/>
  <c r="R20" i="396"/>
  <c r="G20" i="396"/>
  <c r="Q20" i="396" s="1"/>
  <c r="B20" i="396"/>
  <c r="P20" i="396" s="1"/>
  <c r="E40" i="385" l="1"/>
  <c r="J10" i="385"/>
  <c r="AJ15" i="401" l="1"/>
  <c r="AJ20" i="387" l="1"/>
  <c r="T20" i="387"/>
  <c r="S20" i="387"/>
  <c r="R20" i="387"/>
  <c r="G20" i="387"/>
  <c r="Q20" i="387" s="1"/>
  <c r="B20" i="387"/>
  <c r="P20" i="387" s="1"/>
  <c r="AJ19" i="387"/>
  <c r="T19" i="387"/>
  <c r="S19" i="387"/>
  <c r="R19" i="387"/>
  <c r="G19" i="387"/>
  <c r="Q19" i="387" s="1"/>
  <c r="B19" i="387"/>
  <c r="P19" i="387"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B222" i="25" l="1"/>
  <c r="B225" i="25"/>
  <c r="O225" i="25" s="1"/>
  <c r="BK225" i="25" s="1"/>
  <c r="A225" i="25"/>
  <c r="C250" i="385"/>
  <c r="J456" i="385"/>
  <c r="AM225" i="25"/>
  <c r="E453" i="385" l="1"/>
  <c r="J462" i="385"/>
  <c r="J459" i="385"/>
  <c r="T450" i="385"/>
  <c r="E450" i="385"/>
  <c r="C448" i="385"/>
  <c r="W448" i="385" s="1"/>
  <c r="C447" i="385"/>
  <c r="W447" i="385" s="1"/>
  <c r="W446" i="385"/>
  <c r="T15" i="401" l="1"/>
  <c r="S15" i="401"/>
  <c r="R15" i="401"/>
  <c r="G15" i="401"/>
  <c r="Q15" i="401" s="1"/>
  <c r="B15" i="401"/>
  <c r="P15" i="401" s="1"/>
  <c r="AJ14" i="403"/>
  <c r="T14" i="403"/>
  <c r="S14" i="403"/>
  <c r="R14" i="403"/>
  <c r="G14" i="403"/>
  <c r="Q14" i="403" s="1"/>
  <c r="B14" i="403"/>
  <c r="P14" i="403" s="1"/>
  <c r="AJ18" i="403"/>
  <c r="T18" i="403"/>
  <c r="S18" i="403"/>
  <c r="R18" i="403"/>
  <c r="G18" i="403"/>
  <c r="Q18" i="403" s="1"/>
  <c r="B18" i="403"/>
  <c r="P18" i="403" s="1"/>
  <c r="AJ17" i="403"/>
  <c r="T17" i="403"/>
  <c r="S17" i="403"/>
  <c r="R17" i="403"/>
  <c r="G17" i="403"/>
  <c r="Q17" i="403" s="1"/>
  <c r="B17" i="403"/>
  <c r="P17" i="403" s="1"/>
  <c r="AJ16" i="403"/>
  <c r="T16" i="403"/>
  <c r="S16" i="403"/>
  <c r="R16" i="403"/>
  <c r="G16" i="403"/>
  <c r="Q16" i="403" s="1"/>
  <c r="B16" i="403"/>
  <c r="P16" i="403" s="1"/>
  <c r="AJ15" i="403"/>
  <c r="T15" i="403"/>
  <c r="S15" i="403"/>
  <c r="R15" i="403"/>
  <c r="G15" i="403"/>
  <c r="Q15" i="403" s="1"/>
  <c r="B15" i="403"/>
  <c r="P15" i="403" s="1"/>
  <c r="AJ13" i="403"/>
  <c r="T13" i="403"/>
  <c r="S13" i="403"/>
  <c r="R13" i="403"/>
  <c r="G13" i="403"/>
  <c r="Q13" i="403" s="1"/>
  <c r="B13" i="403"/>
  <c r="P13" i="403" s="1"/>
  <c r="AJ16" i="402"/>
  <c r="T16" i="402"/>
  <c r="S16" i="402"/>
  <c r="R16" i="402"/>
  <c r="G16" i="402"/>
  <c r="Q16" i="402" s="1"/>
  <c r="B16" i="402"/>
  <c r="P16" i="402" s="1"/>
  <c r="AJ16" i="401"/>
  <c r="T16" i="401"/>
  <c r="S16" i="401"/>
  <c r="R16" i="401"/>
  <c r="G16" i="401"/>
  <c r="Q16" i="401" s="1"/>
  <c r="B16" i="401"/>
  <c r="P16" i="401" s="1"/>
  <c r="AJ14" i="402"/>
  <c r="T14" i="402"/>
  <c r="S14" i="402"/>
  <c r="R14" i="402"/>
  <c r="Q14" i="402"/>
  <c r="B14" i="402"/>
  <c r="P14" i="402" s="1"/>
  <c r="G19" i="402"/>
  <c r="Q19" i="402" s="1"/>
  <c r="G17" i="401"/>
  <c r="Q17" i="401" s="1"/>
  <c r="AJ17" i="402"/>
  <c r="T17" i="402"/>
  <c r="S17" i="402"/>
  <c r="R17" i="402"/>
  <c r="G17" i="402"/>
  <c r="Q17" i="402" s="1"/>
  <c r="B17" i="402"/>
  <c r="P17" i="402" s="1"/>
  <c r="AJ15" i="402"/>
  <c r="T15" i="402"/>
  <c r="S15" i="402"/>
  <c r="R15" i="402"/>
  <c r="G15" i="402"/>
  <c r="Q15" i="402" s="1"/>
  <c r="B15" i="402"/>
  <c r="P15" i="402" s="1"/>
  <c r="AJ19" i="402"/>
  <c r="T19" i="402"/>
  <c r="S19" i="402"/>
  <c r="R19" i="402"/>
  <c r="B19" i="402"/>
  <c r="P19" i="402" s="1"/>
  <c r="AJ18" i="402"/>
  <c r="T18" i="402"/>
  <c r="S18" i="402"/>
  <c r="R18" i="402"/>
  <c r="G18" i="402"/>
  <c r="Q18" i="402" s="1"/>
  <c r="B18" i="402"/>
  <c r="P18" i="402" s="1"/>
  <c r="AJ13" i="402"/>
  <c r="T13" i="402"/>
  <c r="S13" i="402"/>
  <c r="R13" i="402"/>
  <c r="G13" i="402"/>
  <c r="Q13" i="402" s="1"/>
  <c r="B13" i="402"/>
  <c r="P13" i="402" s="1"/>
  <c r="AJ17" i="401"/>
  <c r="T17" i="401"/>
  <c r="S17" i="401"/>
  <c r="R17" i="401"/>
  <c r="B17" i="401"/>
  <c r="P17" i="401" s="1"/>
  <c r="AJ14" i="401"/>
  <c r="T14" i="401"/>
  <c r="S14" i="401"/>
  <c r="R14" i="401"/>
  <c r="G14" i="401"/>
  <c r="Q14" i="401" s="1"/>
  <c r="B14" i="401"/>
  <c r="P14" i="401" s="1"/>
  <c r="AJ13" i="401"/>
  <c r="T13" i="401"/>
  <c r="S13" i="401"/>
  <c r="R13" i="401"/>
  <c r="G13" i="401"/>
  <c r="Q13" i="401" s="1"/>
  <c r="B13" i="401"/>
  <c r="P13" i="401" s="1"/>
  <c r="AJ14" i="400"/>
  <c r="T14" i="400"/>
  <c r="S14" i="400"/>
  <c r="R14" i="400"/>
  <c r="G14" i="400"/>
  <c r="Q14" i="400" s="1"/>
  <c r="B14" i="400"/>
  <c r="P14" i="400" s="1"/>
  <c r="AJ29" i="400"/>
  <c r="T29" i="400"/>
  <c r="S29" i="400"/>
  <c r="R29" i="400"/>
  <c r="G29" i="400"/>
  <c r="Q29" i="400" s="1"/>
  <c r="B29" i="400"/>
  <c r="P29" i="400" s="1"/>
  <c r="AJ28" i="400"/>
  <c r="T28" i="400"/>
  <c r="S28" i="400"/>
  <c r="R28" i="400"/>
  <c r="G28" i="400"/>
  <c r="Q28" i="400" s="1"/>
  <c r="B28" i="400"/>
  <c r="P28" i="400" s="1"/>
  <c r="AJ27" i="400"/>
  <c r="T27" i="400"/>
  <c r="S27" i="400"/>
  <c r="R27" i="400"/>
  <c r="G27" i="400"/>
  <c r="Q27" i="400" s="1"/>
  <c r="B27" i="400"/>
  <c r="P27" i="400" s="1"/>
  <c r="AJ26" i="400"/>
  <c r="T26" i="400"/>
  <c r="S26" i="400"/>
  <c r="R26" i="400"/>
  <c r="G26" i="400"/>
  <c r="Q26" i="400" s="1"/>
  <c r="B26" i="400"/>
  <c r="P26" i="400" s="1"/>
  <c r="AJ25" i="400"/>
  <c r="T25" i="400"/>
  <c r="S25" i="400"/>
  <c r="R25" i="400"/>
  <c r="G25" i="400"/>
  <c r="Q25" i="400" s="1"/>
  <c r="B25" i="400"/>
  <c r="P25" i="400" s="1"/>
  <c r="AJ24" i="400"/>
  <c r="T24" i="400"/>
  <c r="S24" i="400"/>
  <c r="R24" i="400"/>
  <c r="G24" i="400"/>
  <c r="Q24" i="400" s="1"/>
  <c r="B24" i="400"/>
  <c r="P24" i="400" s="1"/>
  <c r="AJ23" i="400"/>
  <c r="T23" i="400"/>
  <c r="S23" i="400"/>
  <c r="R23" i="400"/>
  <c r="G23" i="400"/>
  <c r="Q23" i="400" s="1"/>
  <c r="B23" i="400"/>
  <c r="P23" i="400" s="1"/>
  <c r="AJ22" i="400"/>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3" i="400"/>
  <c r="T13" i="400"/>
  <c r="S13" i="400"/>
  <c r="R13" i="400"/>
  <c r="G13" i="400"/>
  <c r="Q13" i="400" s="1"/>
  <c r="B13" i="400"/>
  <c r="P13" i="400" s="1"/>
  <c r="G19" i="399"/>
  <c r="Q19" i="399" s="1"/>
  <c r="G20" i="399"/>
  <c r="Q20" i="399" s="1"/>
  <c r="G21" i="399"/>
  <c r="Q21" i="399" s="1"/>
  <c r="G22" i="399"/>
  <c r="Q22" i="399" s="1"/>
  <c r="G23" i="399"/>
  <c r="Q23" i="399" s="1"/>
  <c r="G24" i="399"/>
  <c r="Q24" i="399" s="1"/>
  <c r="G25" i="399"/>
  <c r="Q25" i="399" s="1"/>
  <c r="G26" i="399"/>
  <c r="Q26" i="399" s="1"/>
  <c r="G27" i="399"/>
  <c r="Q27" i="399" s="1"/>
  <c r="AJ20" i="399"/>
  <c r="T20" i="399"/>
  <c r="S20" i="399"/>
  <c r="R20" i="399"/>
  <c r="B20" i="399"/>
  <c r="P20" i="399" s="1"/>
  <c r="AJ19" i="399"/>
  <c r="T19" i="399"/>
  <c r="S19" i="399"/>
  <c r="R19" i="399"/>
  <c r="B19" i="399"/>
  <c r="P19" i="399" s="1"/>
  <c r="AJ25" i="399"/>
  <c r="T25" i="399"/>
  <c r="S25" i="399"/>
  <c r="R25" i="399"/>
  <c r="B25" i="399"/>
  <c r="P25" i="399" s="1"/>
  <c r="AJ24" i="399"/>
  <c r="T24" i="399"/>
  <c r="S24" i="399"/>
  <c r="R24" i="399"/>
  <c r="B24" i="399"/>
  <c r="P24" i="399" s="1"/>
  <c r="AJ23" i="399"/>
  <c r="T23" i="399"/>
  <c r="S23" i="399"/>
  <c r="R23" i="399"/>
  <c r="B23" i="399"/>
  <c r="P23" i="399" s="1"/>
  <c r="AJ22" i="399"/>
  <c r="T22" i="399"/>
  <c r="S22" i="399"/>
  <c r="R22" i="399"/>
  <c r="B22" i="399"/>
  <c r="P22" i="399" s="1"/>
  <c r="AJ21" i="399"/>
  <c r="T21" i="399"/>
  <c r="S21" i="399"/>
  <c r="R21" i="399"/>
  <c r="B21" i="399"/>
  <c r="P21" i="399" s="1"/>
  <c r="AJ28" i="399"/>
  <c r="T28" i="399"/>
  <c r="S28" i="399"/>
  <c r="R28" i="399"/>
  <c r="G28" i="399"/>
  <c r="Q28" i="399" s="1"/>
  <c r="B28" i="399"/>
  <c r="P28" i="399" s="1"/>
  <c r="AJ27" i="399"/>
  <c r="T27" i="399"/>
  <c r="S27" i="399"/>
  <c r="R27" i="399"/>
  <c r="B27" i="399"/>
  <c r="P27" i="399" s="1"/>
  <c r="AJ26" i="399"/>
  <c r="T26" i="399"/>
  <c r="S26" i="399"/>
  <c r="R26" i="399"/>
  <c r="B26" i="399"/>
  <c r="P26" i="399" s="1"/>
  <c r="AJ18" i="399"/>
  <c r="T18" i="399"/>
  <c r="S18" i="399"/>
  <c r="R18" i="399"/>
  <c r="G18" i="399"/>
  <c r="Q18" i="399" s="1"/>
  <c r="B18" i="399"/>
  <c r="P18" i="399" s="1"/>
  <c r="AJ17" i="399"/>
  <c r="T17" i="399"/>
  <c r="S17" i="399"/>
  <c r="R17" i="399"/>
  <c r="G17" i="399"/>
  <c r="Q17" i="399" s="1"/>
  <c r="B17" i="399"/>
  <c r="P17" i="399" s="1"/>
  <c r="AJ16" i="399"/>
  <c r="T16" i="399"/>
  <c r="S16" i="399"/>
  <c r="R16" i="399"/>
  <c r="G16" i="399"/>
  <c r="Q16" i="399" s="1"/>
  <c r="B16" i="399"/>
  <c r="P16" i="399" s="1"/>
  <c r="AJ15" i="399"/>
  <c r="T15" i="399"/>
  <c r="S15" i="399"/>
  <c r="R15" i="399"/>
  <c r="G15" i="399"/>
  <c r="Q15" i="399" s="1"/>
  <c r="B15" i="399"/>
  <c r="P15" i="399" s="1"/>
  <c r="AJ14" i="399"/>
  <c r="T14" i="399"/>
  <c r="S14" i="399"/>
  <c r="R14" i="399"/>
  <c r="G14" i="399"/>
  <c r="Q14" i="399" s="1"/>
  <c r="B14" i="399"/>
  <c r="P14" i="399" s="1"/>
  <c r="AJ13" i="399"/>
  <c r="T13" i="399"/>
  <c r="S13" i="399"/>
  <c r="R13" i="399"/>
  <c r="G13" i="399"/>
  <c r="Q13" i="399" s="1"/>
  <c r="B13" i="399"/>
  <c r="P13" i="399" s="1"/>
  <c r="B223" i="25"/>
  <c r="O223" i="25" s="1"/>
  <c r="BK223" i="25" s="1"/>
  <c r="A223" i="25"/>
  <c r="O222" i="25"/>
  <c r="BK222" i="25" s="1"/>
  <c r="A222" i="25"/>
  <c r="B221" i="25"/>
  <c r="O221" i="25" s="1"/>
  <c r="BK221" i="25" s="1"/>
  <c r="A221" i="25"/>
  <c r="B220" i="25"/>
  <c r="O220" i="25" s="1"/>
  <c r="BK220" i="25" s="1"/>
  <c r="A220" i="25"/>
  <c r="AJ22" i="398"/>
  <c r="T22" i="398"/>
  <c r="S22" i="398"/>
  <c r="R22" i="398"/>
  <c r="G22" i="398"/>
  <c r="Q22" i="398" s="1"/>
  <c r="B22" i="398"/>
  <c r="P22" i="398" s="1"/>
  <c r="AJ21" i="398"/>
  <c r="T21" i="398"/>
  <c r="S21" i="398"/>
  <c r="R21" i="398"/>
  <c r="G21" i="398"/>
  <c r="Q21" i="398" s="1"/>
  <c r="B21" i="398"/>
  <c r="P21" i="398" s="1"/>
  <c r="AJ19" i="398"/>
  <c r="T19" i="398"/>
  <c r="S19" i="398"/>
  <c r="R19" i="398"/>
  <c r="Q19" i="398"/>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14" i="398"/>
  <c r="T14" i="398"/>
  <c r="S14" i="398"/>
  <c r="R14" i="398"/>
  <c r="G14" i="398"/>
  <c r="Q14" i="398" s="1"/>
  <c r="B14" i="398"/>
  <c r="P14" i="398" s="1"/>
  <c r="AJ13" i="398"/>
  <c r="T13" i="398"/>
  <c r="S13" i="398"/>
  <c r="R13" i="398"/>
  <c r="G13" i="398"/>
  <c r="Q13" i="398" s="1"/>
  <c r="B13" i="398"/>
  <c r="P13" i="398" s="1"/>
  <c r="AJ22" i="397"/>
  <c r="T22" i="397"/>
  <c r="S22" i="397"/>
  <c r="R22" i="397"/>
  <c r="G22" i="397"/>
  <c r="Q22" i="397" s="1"/>
  <c r="B22" i="397"/>
  <c r="P22" i="397" s="1"/>
  <c r="AJ21" i="397"/>
  <c r="T21" i="397"/>
  <c r="S21" i="397"/>
  <c r="R21" i="397"/>
  <c r="G21" i="397"/>
  <c r="Q21" i="397" s="1"/>
  <c r="B21" i="397"/>
  <c r="P21" i="397" s="1"/>
  <c r="AJ19" i="397"/>
  <c r="T19" i="397"/>
  <c r="S19" i="397"/>
  <c r="R19" i="397"/>
  <c r="G19" i="397"/>
  <c r="Q19" i="397" s="1"/>
  <c r="B19" i="397"/>
  <c r="P19" i="397" s="1"/>
  <c r="AJ18" i="397"/>
  <c r="T18" i="397"/>
  <c r="S18" i="397"/>
  <c r="R18" i="397"/>
  <c r="G18" i="397"/>
  <c r="Q18" i="397" s="1"/>
  <c r="B18" i="397"/>
  <c r="P18" i="397" s="1"/>
  <c r="AJ17" i="397"/>
  <c r="T17" i="397"/>
  <c r="S17" i="397"/>
  <c r="R17" i="397"/>
  <c r="G17" i="397"/>
  <c r="Q17" i="397" s="1"/>
  <c r="B17" i="397"/>
  <c r="P17" i="397" s="1"/>
  <c r="AJ16" i="397"/>
  <c r="T16" i="397"/>
  <c r="S16" i="397"/>
  <c r="R16" i="397"/>
  <c r="G16" i="397"/>
  <c r="Q16" i="397" s="1"/>
  <c r="B16" i="397"/>
  <c r="P16" i="397" s="1"/>
  <c r="AJ15" i="397"/>
  <c r="T15" i="397"/>
  <c r="S15" i="397"/>
  <c r="R15" i="397"/>
  <c r="G15" i="397"/>
  <c r="Q15" i="397" s="1"/>
  <c r="B15" i="397"/>
  <c r="P15" i="397" s="1"/>
  <c r="AJ14" i="397"/>
  <c r="T14" i="397"/>
  <c r="S14" i="397"/>
  <c r="R14" i="397"/>
  <c r="G14" i="397"/>
  <c r="Q14" i="397" s="1"/>
  <c r="B14" i="397"/>
  <c r="P14" i="397" s="1"/>
  <c r="AJ13" i="397"/>
  <c r="T13" i="397"/>
  <c r="S13" i="397"/>
  <c r="R13" i="397"/>
  <c r="G13" i="397"/>
  <c r="Q13" i="397" s="1"/>
  <c r="B13" i="397"/>
  <c r="P13" i="397" s="1"/>
  <c r="AJ19" i="396"/>
  <c r="T19" i="396"/>
  <c r="S19" i="396"/>
  <c r="R19" i="396"/>
  <c r="G19" i="396"/>
  <c r="Q19" i="396" s="1"/>
  <c r="B19" i="396"/>
  <c r="P19" i="396" s="1"/>
  <c r="AJ18" i="396"/>
  <c r="T18" i="396"/>
  <c r="S18" i="396"/>
  <c r="R18" i="396"/>
  <c r="G18" i="396"/>
  <c r="Q18" i="396" s="1"/>
  <c r="B18" i="396"/>
  <c r="P18" i="396" s="1"/>
  <c r="AJ17" i="396"/>
  <c r="T17" i="396"/>
  <c r="S17" i="396"/>
  <c r="R17" i="396"/>
  <c r="G17" i="396"/>
  <c r="Q17" i="396" s="1"/>
  <c r="B17" i="396"/>
  <c r="P17" i="396" s="1"/>
  <c r="AJ16" i="396"/>
  <c r="T16" i="396"/>
  <c r="S16" i="396"/>
  <c r="R16" i="396"/>
  <c r="G16" i="396"/>
  <c r="Q16" i="396" s="1"/>
  <c r="B16" i="396"/>
  <c r="P16" i="396" s="1"/>
  <c r="AJ15" i="396"/>
  <c r="T15" i="396"/>
  <c r="S15" i="396"/>
  <c r="R15" i="396"/>
  <c r="G15" i="396"/>
  <c r="Q15" i="396" s="1"/>
  <c r="B15" i="396"/>
  <c r="P15" i="396" s="1"/>
  <c r="AJ14" i="396"/>
  <c r="T14" i="396"/>
  <c r="S14" i="396"/>
  <c r="R14" i="396"/>
  <c r="G14" i="396"/>
  <c r="Q14" i="396" s="1"/>
  <c r="B14" i="396"/>
  <c r="P14" i="396" s="1"/>
  <c r="AJ22" i="396"/>
  <c r="T22" i="396"/>
  <c r="S22" i="396"/>
  <c r="R22" i="396"/>
  <c r="G22" i="396"/>
  <c r="Q22" i="396" s="1"/>
  <c r="B22" i="396"/>
  <c r="P22" i="396" s="1"/>
  <c r="AJ21" i="396"/>
  <c r="T21" i="396"/>
  <c r="S21" i="396"/>
  <c r="R21" i="396"/>
  <c r="G21" i="396"/>
  <c r="Q21" i="396" s="1"/>
  <c r="B21" i="396"/>
  <c r="P21" i="396" s="1"/>
  <c r="AJ13" i="396"/>
  <c r="T13" i="396"/>
  <c r="S13" i="396"/>
  <c r="R13" i="396"/>
  <c r="G13" i="396"/>
  <c r="Q13" i="396" s="1"/>
  <c r="B13" i="396"/>
  <c r="P13" i="396" s="1"/>
  <c r="B219" i="25"/>
  <c r="O219" i="25" s="1"/>
  <c r="BK219" i="25" s="1"/>
  <c r="A219" i="25"/>
  <c r="B218" i="25"/>
  <c r="O218" i="25" s="1"/>
  <c r="BK218" i="25" s="1"/>
  <c r="A218" i="25"/>
  <c r="B217" i="25"/>
  <c r="O217" i="25" s="1"/>
  <c r="BK217" i="25" s="1"/>
  <c r="A217" i="25"/>
  <c r="AJ15" i="395"/>
  <c r="T15" i="395"/>
  <c r="S15" i="395"/>
  <c r="R15" i="395"/>
  <c r="G15" i="395"/>
  <c r="Q15" i="395" s="1"/>
  <c r="B15" i="395"/>
  <c r="P15" i="395" s="1"/>
  <c r="AJ14" i="395"/>
  <c r="T14" i="395"/>
  <c r="S14" i="395"/>
  <c r="R14" i="395"/>
  <c r="G14" i="395"/>
  <c r="Q14" i="395" s="1"/>
  <c r="B14" i="395"/>
  <c r="P14" i="395" s="1"/>
  <c r="AJ13" i="395"/>
  <c r="T13" i="395"/>
  <c r="S13" i="395"/>
  <c r="R13" i="395"/>
  <c r="G13" i="395"/>
  <c r="Q13" i="395" s="1"/>
  <c r="B13" i="395"/>
  <c r="P13" i="395" s="1"/>
  <c r="B216" i="25"/>
  <c r="O216" i="25" s="1"/>
  <c r="BK216" i="25" s="1"/>
  <c r="A216" i="25"/>
  <c r="AJ16" i="394"/>
  <c r="T16" i="394"/>
  <c r="S16" i="394"/>
  <c r="R16" i="394"/>
  <c r="G16" i="394"/>
  <c r="Q16" i="394" s="1"/>
  <c r="B16" i="394"/>
  <c r="P16" i="394" s="1"/>
  <c r="AJ15" i="394"/>
  <c r="T15" i="394"/>
  <c r="S15" i="394"/>
  <c r="R15" i="394"/>
  <c r="G15" i="394"/>
  <c r="Q15" i="394" s="1"/>
  <c r="B15" i="394"/>
  <c r="P15" i="394" s="1"/>
  <c r="AJ14" i="394"/>
  <c r="T14" i="394"/>
  <c r="S14" i="394"/>
  <c r="R14" i="394"/>
  <c r="G14" i="394"/>
  <c r="Q14" i="394" s="1"/>
  <c r="B14" i="394"/>
  <c r="P14" i="394" s="1"/>
  <c r="AJ18" i="394"/>
  <c r="T18" i="394"/>
  <c r="S18" i="394"/>
  <c r="R18" i="394"/>
  <c r="G18" i="394"/>
  <c r="Q18" i="394" s="1"/>
  <c r="B18" i="394"/>
  <c r="P18" i="394" s="1"/>
  <c r="AJ17" i="394"/>
  <c r="T17" i="394"/>
  <c r="S17" i="394"/>
  <c r="R17" i="394"/>
  <c r="G17" i="394"/>
  <c r="Q17" i="394" s="1"/>
  <c r="B17" i="394"/>
  <c r="P17" i="394" s="1"/>
  <c r="AJ13" i="394"/>
  <c r="T13" i="394"/>
  <c r="S13" i="394"/>
  <c r="R13" i="394"/>
  <c r="G13" i="394"/>
  <c r="Q13" i="394" s="1"/>
  <c r="B13" i="394"/>
  <c r="P13" i="394" s="1"/>
  <c r="B215" i="25"/>
  <c r="O215" i="25" s="1"/>
  <c r="BK215" i="25" s="1"/>
  <c r="A215" i="25"/>
  <c r="AJ14" i="393"/>
  <c r="T14" i="393"/>
  <c r="S14" i="393"/>
  <c r="R14" i="393"/>
  <c r="G14" i="393"/>
  <c r="Q14" i="393" s="1"/>
  <c r="B14" i="393"/>
  <c r="P14" i="393" s="1"/>
  <c r="AJ13" i="393"/>
  <c r="T13" i="393"/>
  <c r="S13" i="393"/>
  <c r="R13" i="393"/>
  <c r="G13" i="393"/>
  <c r="Q13" i="393" s="1"/>
  <c r="B13" i="393"/>
  <c r="P13" i="393" s="1"/>
  <c r="AJ14" i="392"/>
  <c r="T14" i="392"/>
  <c r="S14" i="392"/>
  <c r="R14" i="392"/>
  <c r="G14" i="392"/>
  <c r="Q14" i="392" s="1"/>
  <c r="B14" i="392"/>
  <c r="P14" i="392" s="1"/>
  <c r="AJ13" i="392"/>
  <c r="T13" i="392"/>
  <c r="S13" i="392"/>
  <c r="R13" i="392"/>
  <c r="G13" i="392"/>
  <c r="Q13" i="392" s="1"/>
  <c r="B13" i="392"/>
  <c r="P13" i="392" s="1"/>
  <c r="B214" i="25"/>
  <c r="O214" i="25" s="1"/>
  <c r="BK214" i="25" s="1"/>
  <c r="A214" i="25"/>
  <c r="B213" i="25"/>
  <c r="O213" i="25" s="1"/>
  <c r="BK213" i="25" s="1"/>
  <c r="A213" i="25"/>
  <c r="AJ14" i="391"/>
  <c r="T14" i="391"/>
  <c r="S14" i="391"/>
  <c r="R14" i="391"/>
  <c r="G14" i="391"/>
  <c r="Q14" i="391" s="1"/>
  <c r="B14" i="391"/>
  <c r="P14" i="391" s="1"/>
  <c r="AJ13" i="391"/>
  <c r="T13" i="391"/>
  <c r="S13" i="391"/>
  <c r="R13" i="391"/>
  <c r="G13" i="391"/>
  <c r="Q13" i="391" s="1"/>
  <c r="B13" i="391"/>
  <c r="P13" i="391" s="1"/>
  <c r="B212" i="25"/>
  <c r="O212" i="25" s="1"/>
  <c r="BK212" i="25" s="1"/>
  <c r="A212" i="25"/>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B211" i="25"/>
  <c r="O211" i="25" s="1"/>
  <c r="BK211" i="25" s="1"/>
  <c r="A211" i="25"/>
  <c r="AJ15" i="389"/>
  <c r="T15" i="389"/>
  <c r="S15" i="389"/>
  <c r="R15" i="389"/>
  <c r="G15" i="389"/>
  <c r="Q15" i="389" s="1"/>
  <c r="B15" i="389"/>
  <c r="P15" i="389" s="1"/>
  <c r="AJ14" i="389"/>
  <c r="T14" i="389"/>
  <c r="S14" i="389"/>
  <c r="R14" i="389"/>
  <c r="G14" i="389"/>
  <c r="Q14" i="389" s="1"/>
  <c r="B14" i="389"/>
  <c r="P14" i="389" s="1"/>
  <c r="AJ13" i="389"/>
  <c r="T13" i="389"/>
  <c r="S13" i="389"/>
  <c r="R13" i="389"/>
  <c r="G13" i="389"/>
  <c r="Q13" i="389" s="1"/>
  <c r="B13" i="389"/>
  <c r="P13" i="389" s="1"/>
  <c r="B210" i="25"/>
  <c r="O210" i="25" s="1"/>
  <c r="BK210" i="25" s="1"/>
  <c r="A210" i="25"/>
  <c r="AJ15" i="388"/>
  <c r="T15" i="388"/>
  <c r="S15" i="388"/>
  <c r="R15" i="388"/>
  <c r="G15" i="388"/>
  <c r="Q15" i="388" s="1"/>
  <c r="B15" i="388"/>
  <c r="P15" i="388" s="1"/>
  <c r="AJ14" i="388"/>
  <c r="T14" i="388"/>
  <c r="S14" i="388"/>
  <c r="R14" i="388"/>
  <c r="G14" i="388"/>
  <c r="Q14" i="388" s="1"/>
  <c r="B14" i="388"/>
  <c r="P14" i="388" s="1"/>
  <c r="AJ13" i="388"/>
  <c r="T13" i="388"/>
  <c r="S13" i="388"/>
  <c r="R13" i="388"/>
  <c r="G13" i="388"/>
  <c r="Q13" i="388" s="1"/>
  <c r="B13" i="388"/>
  <c r="P13" i="388" s="1"/>
  <c r="B209" i="25"/>
  <c r="O209" i="25" s="1"/>
  <c r="BK209" i="25" s="1"/>
  <c r="A209" i="25"/>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21" i="387"/>
  <c r="T21" i="387"/>
  <c r="S21" i="387"/>
  <c r="R21" i="387"/>
  <c r="G21" i="387"/>
  <c r="Q21" i="387" s="1"/>
  <c r="B21" i="387"/>
  <c r="P21" i="387" s="1"/>
  <c r="AJ18" i="387"/>
  <c r="T18" i="387"/>
  <c r="S18" i="387"/>
  <c r="R18" i="387"/>
  <c r="G18" i="387"/>
  <c r="Q18" i="387" s="1"/>
  <c r="B18" i="387"/>
  <c r="P18" i="387" s="1"/>
  <c r="AJ14" i="387"/>
  <c r="T14" i="387"/>
  <c r="S14" i="387"/>
  <c r="R14" i="387"/>
  <c r="G14" i="387"/>
  <c r="Q14" i="387" s="1"/>
  <c r="B14" i="387"/>
  <c r="P14" i="387" s="1"/>
  <c r="AJ13" i="387"/>
  <c r="T13" i="387"/>
  <c r="S13" i="387"/>
  <c r="R13" i="387"/>
  <c r="G13" i="387"/>
  <c r="Q13" i="387" s="1"/>
  <c r="B13" i="387"/>
  <c r="P13" i="387"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AM223" i="25"/>
  <c r="AM216" i="25"/>
  <c r="AM209" i="25"/>
  <c r="AM217" i="25"/>
  <c r="AM214" i="25"/>
  <c r="AM220" i="25"/>
  <c r="AM215" i="25"/>
  <c r="AM212" i="25"/>
  <c r="AM213" i="25"/>
  <c r="AM222" i="25"/>
  <c r="AM221" i="25"/>
  <c r="AM211" i="25"/>
  <c r="AM210" i="25"/>
  <c r="AM219" i="25"/>
  <c r="AM218" i="25"/>
  <c r="C283" i="385" l="1"/>
  <c r="W283" i="385" s="1"/>
  <c r="J295" i="385"/>
  <c r="J292" i="385"/>
  <c r="J289" i="385"/>
  <c r="T286" i="385"/>
  <c r="E286" i="385"/>
  <c r="C284" i="385"/>
  <c r="W284" i="385" s="1"/>
  <c r="W282" i="385"/>
  <c r="J271" i="385"/>
  <c r="C302" i="385" l="1"/>
  <c r="E307" i="385"/>
  <c r="T304" i="385"/>
  <c r="E304" i="385"/>
  <c r="W302" i="385"/>
  <c r="C301" i="385"/>
  <c r="W301" i="385" s="1"/>
  <c r="W300" i="385"/>
  <c r="C265" i="385"/>
  <c r="W265" i="385" s="1"/>
  <c r="C266" i="385"/>
  <c r="J277" i="385"/>
  <c r="J274" i="385"/>
  <c r="T268" i="385"/>
  <c r="E268" i="385"/>
  <c r="W266" i="385"/>
  <c r="W264" i="385"/>
  <c r="C251" i="385"/>
  <c r="W251" i="385" s="1"/>
  <c r="J259" i="385"/>
  <c r="J256" i="385"/>
  <c r="T253" i="385"/>
  <c r="E253" i="385"/>
  <c r="W250" i="385"/>
  <c r="W249" i="385"/>
  <c r="J441" i="385"/>
  <c r="J438" i="385"/>
  <c r="E325" i="385"/>
  <c r="E334" i="385"/>
  <c r="E343" i="385"/>
  <c r="E352" i="385"/>
  <c r="E361" i="385"/>
  <c r="E370" i="385"/>
  <c r="E379" i="385"/>
  <c r="E388" i="385"/>
  <c r="E397" i="385"/>
  <c r="E406" i="385"/>
  <c r="E415" i="385"/>
  <c r="E424" i="385"/>
  <c r="E427" i="385"/>
  <c r="E435" i="385"/>
  <c r="T435" i="385"/>
  <c r="T424" i="385"/>
  <c r="T415" i="385"/>
  <c r="T406" i="385"/>
  <c r="T397" i="385"/>
  <c r="T388" i="385"/>
  <c r="T379" i="385"/>
  <c r="T370" i="385"/>
  <c r="T361" i="385"/>
  <c r="T352" i="385"/>
  <c r="T343" i="385"/>
  <c r="T334" i="385"/>
  <c r="T325" i="385"/>
  <c r="T316" i="385"/>
  <c r="E316" i="385"/>
  <c r="T241" i="385"/>
  <c r="E244" i="385"/>
  <c r="E241" i="385"/>
  <c r="J232" i="385"/>
  <c r="J229" i="385"/>
  <c r="J226" i="385"/>
  <c r="J223" i="385"/>
  <c r="J220" i="385"/>
  <c r="T208" i="385"/>
  <c r="J217" i="385"/>
  <c r="J214" i="385"/>
  <c r="E211" i="385"/>
  <c r="E208" i="385"/>
  <c r="J199" i="385"/>
  <c r="J196" i="385"/>
  <c r="T178" i="385"/>
  <c r="J190" i="385"/>
  <c r="J187" i="385"/>
  <c r="J184" i="385"/>
  <c r="J181" i="385"/>
  <c r="E178" i="385"/>
  <c r="T160" i="385"/>
  <c r="J169" i="385"/>
  <c r="J166" i="385"/>
  <c r="J163" i="385"/>
  <c r="E160" i="385"/>
  <c r="C140" i="385"/>
  <c r="W140" i="385" s="1"/>
  <c r="T142" i="385"/>
  <c r="J151" i="385"/>
  <c r="J148" i="385"/>
  <c r="J145" i="385"/>
  <c r="E142" i="385"/>
  <c r="T130" i="385"/>
  <c r="E133" i="385"/>
  <c r="E130" i="385"/>
  <c r="T115" i="385"/>
  <c r="J121" i="385"/>
  <c r="J118" i="385"/>
  <c r="E115" i="385"/>
  <c r="T100" i="385"/>
  <c r="J106" i="385"/>
  <c r="J103" i="385"/>
  <c r="E100" i="385"/>
  <c r="T88" i="385"/>
  <c r="E91" i="385"/>
  <c r="E88" i="385"/>
  <c r="T73" i="385"/>
  <c r="J79" i="385"/>
  <c r="J76" i="385"/>
  <c r="E73" i="385"/>
  <c r="T55" i="385"/>
  <c r="J64" i="385"/>
  <c r="J61" i="385"/>
  <c r="E58" i="385"/>
  <c r="E55" i="385"/>
  <c r="C433" i="385"/>
  <c r="W433" i="385" s="1"/>
  <c r="C432" i="385"/>
  <c r="W432" i="385" s="1"/>
  <c r="W431" i="385"/>
  <c r="C422" i="385"/>
  <c r="W422" i="385" s="1"/>
  <c r="C421" i="385"/>
  <c r="W421" i="385" s="1"/>
  <c r="W420" i="385"/>
  <c r="C413" i="385"/>
  <c r="W413" i="385" s="1"/>
  <c r="C412" i="385"/>
  <c r="W412" i="385" s="1"/>
  <c r="W411" i="385"/>
  <c r="C404" i="385"/>
  <c r="W404" i="385" s="1"/>
  <c r="C403" i="385"/>
  <c r="W403" i="385" s="1"/>
  <c r="W402" i="385"/>
  <c r="C395" i="385"/>
  <c r="W395" i="385" s="1"/>
  <c r="C394" i="385"/>
  <c r="W394" i="385" s="1"/>
  <c r="W393" i="385"/>
  <c r="C386" i="385"/>
  <c r="W386" i="385" s="1"/>
  <c r="C385" i="385"/>
  <c r="W385" i="385" s="1"/>
  <c r="W384" i="385"/>
  <c r="C377" i="385"/>
  <c r="W377" i="385" s="1"/>
  <c r="C376" i="385"/>
  <c r="W376" i="385" s="1"/>
  <c r="W375" i="385"/>
  <c r="C368" i="385"/>
  <c r="W368" i="385" s="1"/>
  <c r="C367" i="385"/>
  <c r="W367" i="385" s="1"/>
  <c r="W366" i="385"/>
  <c r="C359" i="385"/>
  <c r="W359" i="385" s="1"/>
  <c r="C358" i="385"/>
  <c r="W358" i="385" s="1"/>
  <c r="W357" i="385"/>
  <c r="C350" i="385"/>
  <c r="W350" i="385" s="1"/>
  <c r="C349" i="385"/>
  <c r="W349" i="385" s="1"/>
  <c r="W348" i="385"/>
  <c r="C341" i="385"/>
  <c r="W341" i="385" s="1"/>
  <c r="C340" i="385"/>
  <c r="W340" i="385" s="1"/>
  <c r="W339" i="385"/>
  <c r="C332" i="385"/>
  <c r="W332" i="385" s="1"/>
  <c r="C331" i="385"/>
  <c r="W331" i="385" s="1"/>
  <c r="W330" i="385"/>
  <c r="C323" i="385"/>
  <c r="W323" i="385" s="1"/>
  <c r="C322" i="385"/>
  <c r="W322" i="385" s="1"/>
  <c r="W321" i="385"/>
  <c r="C314" i="385"/>
  <c r="W314" i="385" s="1"/>
  <c r="C313" i="385"/>
  <c r="W313" i="385" s="1"/>
  <c r="W312" i="385"/>
  <c r="C239" i="385"/>
  <c r="W239" i="385" s="1"/>
  <c r="C238" i="385"/>
  <c r="W238" i="385" s="1"/>
  <c r="W237" i="385"/>
  <c r="C206" i="385"/>
  <c r="W206" i="385" s="1"/>
  <c r="C205" i="385"/>
  <c r="W205" i="385" s="1"/>
  <c r="W204" i="385"/>
  <c r="C176" i="385"/>
  <c r="W176" i="385" s="1"/>
  <c r="C175" i="385"/>
  <c r="W175" i="385" s="1"/>
  <c r="W174" i="385"/>
  <c r="C158" i="385"/>
  <c r="W158" i="385" s="1"/>
  <c r="C157" i="385"/>
  <c r="W157" i="385" s="1"/>
  <c r="W156" i="385"/>
  <c r="C139" i="385"/>
  <c r="W139" i="385" s="1"/>
  <c r="W138" i="385"/>
  <c r="C128" i="385"/>
  <c r="W128" i="385" s="1"/>
  <c r="C127" i="385"/>
  <c r="W127" i="385" s="1"/>
  <c r="W126" i="385"/>
  <c r="C113" i="385"/>
  <c r="W113" i="385" s="1"/>
  <c r="C112" i="385"/>
  <c r="W112" i="385" s="1"/>
  <c r="W111" i="385"/>
  <c r="C98" i="385"/>
  <c r="W98" i="385" s="1"/>
  <c r="C97" i="385"/>
  <c r="W97" i="385" s="1"/>
  <c r="W96" i="385"/>
  <c r="C86" i="385"/>
  <c r="W86" i="385" s="1"/>
  <c r="C85" i="385"/>
  <c r="W85" i="385" s="1"/>
  <c r="W84" i="385"/>
  <c r="C71" i="385"/>
  <c r="W71" i="385" s="1"/>
  <c r="C70" i="385"/>
  <c r="W70" i="385" s="1"/>
  <c r="W69" i="385"/>
  <c r="C53" i="385"/>
  <c r="W53" i="385" s="1"/>
  <c r="C52" i="385"/>
  <c r="W52" i="385" s="1"/>
  <c r="W51" i="385"/>
  <c r="T19" i="385" l="1"/>
  <c r="J46" i="385"/>
  <c r="J43" i="385"/>
  <c r="J34" i="385"/>
  <c r="E31" i="385"/>
  <c r="E28" i="385"/>
  <c r="J25" i="385"/>
  <c r="E22" i="385"/>
  <c r="E19" i="385"/>
  <c r="C16" i="385"/>
  <c r="W16" i="385" s="1"/>
  <c r="C5" i="385"/>
  <c r="W5" i="385" s="1"/>
  <c r="C4" i="385"/>
  <c r="W4" i="385" s="1"/>
  <c r="W17" i="385"/>
  <c r="W15" i="385"/>
  <c r="T7" i="385"/>
  <c r="E7" i="385"/>
  <c r="W3" i="385"/>
  <c r="R475" i="178" l="1"/>
  <c r="C473" i="178" s="1"/>
  <c r="R463" i="178"/>
  <c r="C461" i="178" s="1"/>
  <c r="R451" i="178"/>
  <c r="C449" i="178" s="1"/>
  <c r="E475" i="178"/>
  <c r="E463" i="178"/>
  <c r="E451" i="178"/>
  <c r="E439" i="178"/>
  <c r="R439" i="178"/>
  <c r="C437" i="178" s="1"/>
  <c r="C448" i="178" l="1"/>
  <c r="W448" i="178" s="1"/>
  <c r="W437" i="178"/>
  <c r="E478" i="178"/>
  <c r="T475" i="178"/>
  <c r="W473" i="178"/>
  <c r="C472" i="178"/>
  <c r="W472" i="178" s="1"/>
  <c r="W471" i="178"/>
  <c r="E466" i="178"/>
  <c r="T463" i="178"/>
  <c r="W461" i="178"/>
  <c r="C460" i="178"/>
  <c r="W460" i="178" s="1"/>
  <c r="W459" i="178"/>
  <c r="E454" i="178"/>
  <c r="T451" i="178"/>
  <c r="W449" i="178"/>
  <c r="W447" i="178"/>
  <c r="E442" i="178"/>
  <c r="T439" i="178"/>
  <c r="W435" i="178"/>
  <c r="AJ26" i="384"/>
  <c r="T26" i="384"/>
  <c r="S26" i="384"/>
  <c r="R26" i="384"/>
  <c r="G26" i="384"/>
  <c r="Q26" i="384" s="1"/>
  <c r="B26" i="384"/>
  <c r="P26" i="384" s="1"/>
  <c r="AJ25" i="384"/>
  <c r="T25" i="384"/>
  <c r="S25" i="384"/>
  <c r="R25" i="384"/>
  <c r="G25" i="384"/>
  <c r="Q25" i="384" s="1"/>
  <c r="B25" i="384"/>
  <c r="P25" i="384" s="1"/>
  <c r="AJ24" i="384"/>
  <c r="T24" i="384"/>
  <c r="S24" i="384"/>
  <c r="R24" i="384"/>
  <c r="G24" i="384"/>
  <c r="Q24" i="384" s="1"/>
  <c r="B24" i="384"/>
  <c r="P24" i="384" s="1"/>
  <c r="AJ23" i="384"/>
  <c r="T23" i="384"/>
  <c r="S23" i="384"/>
  <c r="R23" i="384"/>
  <c r="G23" i="384"/>
  <c r="Q23" i="384" s="1"/>
  <c r="B23" i="384"/>
  <c r="P23" i="384" s="1"/>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G18" i="384"/>
  <c r="Q18" i="384" s="1"/>
  <c r="B18" i="384"/>
  <c r="P18" i="384" s="1"/>
  <c r="AJ17" i="384"/>
  <c r="T17" i="384"/>
  <c r="S17" i="384"/>
  <c r="G17" i="384"/>
  <c r="R17" i="384" s="1"/>
  <c r="B17" i="384"/>
  <c r="P17" i="384" s="1"/>
  <c r="AJ16" i="384"/>
  <c r="T16" i="384"/>
  <c r="S16" i="384"/>
  <c r="R16" i="384"/>
  <c r="G16" i="384"/>
  <c r="Q16" i="384" s="1"/>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G13" i="384"/>
  <c r="Q13" i="384" s="1"/>
  <c r="B13" i="384"/>
  <c r="P13" i="384" s="1"/>
  <c r="D9" i="384"/>
  <c r="AJ33" i="383"/>
  <c r="T33" i="383"/>
  <c r="S33" i="383"/>
  <c r="R33" i="383"/>
  <c r="G33" i="383"/>
  <c r="Q33" i="383" s="1"/>
  <c r="B33" i="383"/>
  <c r="P33" i="383" s="1"/>
  <c r="AJ32" i="383"/>
  <c r="T32" i="383"/>
  <c r="S32" i="383"/>
  <c r="R32" i="383"/>
  <c r="G32" i="383"/>
  <c r="Q32" i="383" s="1"/>
  <c r="B32" i="383"/>
  <c r="P32" i="383" s="1"/>
  <c r="AJ31" i="383"/>
  <c r="T31" i="383"/>
  <c r="S31" i="383"/>
  <c r="R31" i="383"/>
  <c r="G31" i="383"/>
  <c r="Q31" i="383" s="1"/>
  <c r="B31" i="383"/>
  <c r="P31" i="383" s="1"/>
  <c r="AJ30" i="383"/>
  <c r="T30" i="383"/>
  <c r="S30" i="383"/>
  <c r="R30" i="383"/>
  <c r="G30" i="383"/>
  <c r="Q30" i="383" s="1"/>
  <c r="B30" i="383"/>
  <c r="P30" i="383" s="1"/>
  <c r="AJ29" i="383"/>
  <c r="T29" i="383"/>
  <c r="S29" i="383"/>
  <c r="R29" i="383"/>
  <c r="G29" i="383"/>
  <c r="Q29" i="383" s="1"/>
  <c r="B29" i="383"/>
  <c r="P29" i="383" s="1"/>
  <c r="AJ28" i="383"/>
  <c r="T28" i="383"/>
  <c r="S28" i="383"/>
  <c r="R28" i="383"/>
  <c r="G28" i="383"/>
  <c r="Q28" i="383" s="1"/>
  <c r="B28" i="383"/>
  <c r="P28" i="383" s="1"/>
  <c r="AJ27" i="383"/>
  <c r="T27" i="383"/>
  <c r="S27" i="383"/>
  <c r="R27" i="383"/>
  <c r="G27" i="383"/>
  <c r="Q27" i="383" s="1"/>
  <c r="B27" i="383"/>
  <c r="P27" i="383" s="1"/>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R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AJ32" i="381"/>
  <c r="T32" i="381"/>
  <c r="S32" i="381"/>
  <c r="R32" i="381"/>
  <c r="G32" i="381"/>
  <c r="Q32" i="381" s="1"/>
  <c r="B32" i="381"/>
  <c r="P32" i="381" s="1"/>
  <c r="AJ31" i="381"/>
  <c r="T31" i="381"/>
  <c r="S31" i="381"/>
  <c r="R31" i="381"/>
  <c r="G31" i="381"/>
  <c r="Q31" i="381" s="1"/>
  <c r="B31" i="381"/>
  <c r="P31" i="381" s="1"/>
  <c r="AJ30" i="381"/>
  <c r="T30" i="381"/>
  <c r="S30" i="381"/>
  <c r="R30" i="381"/>
  <c r="G30" i="381"/>
  <c r="Q30" i="381" s="1"/>
  <c r="B30" i="381"/>
  <c r="P30" i="381" s="1"/>
  <c r="AJ29" i="381"/>
  <c r="T29" i="381"/>
  <c r="S29" i="381"/>
  <c r="R29" i="381"/>
  <c r="G29" i="381"/>
  <c r="Q29" i="381" s="1"/>
  <c r="B29" i="381"/>
  <c r="P29" i="381" s="1"/>
  <c r="AJ28" i="381"/>
  <c r="T28" i="381"/>
  <c r="S28" i="381"/>
  <c r="R28" i="381"/>
  <c r="G28" i="381"/>
  <c r="Q28" i="381" s="1"/>
  <c r="B28" i="381"/>
  <c r="P28" i="381" s="1"/>
  <c r="AJ27" i="381"/>
  <c r="T27" i="381"/>
  <c r="S27" i="381"/>
  <c r="R27" i="381"/>
  <c r="G27" i="381"/>
  <c r="Q27" i="381" s="1"/>
  <c r="B27" i="381"/>
  <c r="P27" i="381" s="1"/>
  <c r="AJ26" i="381"/>
  <c r="T26" i="381"/>
  <c r="S26" i="381"/>
  <c r="R26" i="381"/>
  <c r="G26" i="381"/>
  <c r="Q26" i="381" s="1"/>
  <c r="B26" i="381"/>
  <c r="P26" i="381" s="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B206" i="25"/>
  <c r="B205" i="25"/>
  <c r="B204" i="25"/>
  <c r="B203" i="25"/>
  <c r="B202" i="25"/>
  <c r="BK206" i="25"/>
  <c r="A206" i="25"/>
  <c r="BK205" i="25"/>
  <c r="A205" i="25"/>
  <c r="BK204" i="25"/>
  <c r="A204" i="25"/>
  <c r="BK203" i="25"/>
  <c r="A203" i="25"/>
  <c r="B224" i="25"/>
  <c r="O224" i="25" s="1"/>
  <c r="BK224" i="25" s="1"/>
  <c r="B208" i="25"/>
  <c r="O208" i="25" s="1"/>
  <c r="BK208" i="25" s="1"/>
  <c r="B207" i="25"/>
  <c r="A224" i="25"/>
  <c r="B201" i="25"/>
  <c r="A208" i="25"/>
  <c r="AJ15" i="379"/>
  <c r="T15" i="379"/>
  <c r="S15" i="379"/>
  <c r="R15" i="379"/>
  <c r="G15" i="379"/>
  <c r="Q15" i="379" s="1"/>
  <c r="B15" i="379"/>
  <c r="P15" i="379" s="1"/>
  <c r="AM224" i="25"/>
  <c r="AM204" i="25"/>
  <c r="AM205" i="25"/>
  <c r="AM203" i="25"/>
  <c r="AM208" i="25"/>
  <c r="AM206" i="25"/>
  <c r="Q17" i="383" l="1"/>
  <c r="Q17" i="384"/>
  <c r="Q17" i="382"/>
  <c r="C436" i="178"/>
  <c r="W436" i="178" s="1"/>
  <c r="R17" i="381"/>
  <c r="T76" i="177"/>
  <c r="W74" i="177"/>
  <c r="C73" i="177"/>
  <c r="W73" i="177" s="1"/>
  <c r="W72" i="177"/>
  <c r="T66" i="177"/>
  <c r="W64" i="177"/>
  <c r="C63" i="177"/>
  <c r="W63" i="177" s="1"/>
  <c r="W62" i="177"/>
  <c r="T56" i="177"/>
  <c r="W54" i="177"/>
  <c r="C53" i="177"/>
  <c r="W53" i="177" s="1"/>
  <c r="W52" i="177"/>
  <c r="T46" i="177"/>
  <c r="C32" i="177"/>
  <c r="W32" i="177" s="1"/>
  <c r="E37" i="177"/>
  <c r="C23" i="177"/>
  <c r="T34" i="177"/>
  <c r="E34" i="177"/>
  <c r="C31" i="177"/>
  <c r="W31" i="177" s="1"/>
  <c r="W30" i="177"/>
  <c r="C5" i="177"/>
  <c r="J7" i="177"/>
  <c r="E10" i="177"/>
  <c r="B165" i="25" l="1"/>
  <c r="O165" i="25" s="1"/>
  <c r="BK165" i="25" s="1"/>
  <c r="A165" i="25"/>
  <c r="AJ21" i="380" l="1"/>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13" i="191"/>
  <c r="T13" i="191"/>
  <c r="S13" i="191"/>
  <c r="R13" i="191"/>
  <c r="G13" i="191"/>
  <c r="Q13" i="191" s="1"/>
  <c r="B13" i="191"/>
  <c r="P13" i="191" s="1"/>
  <c r="AJ16" i="191"/>
  <c r="T16" i="191"/>
  <c r="S16" i="191"/>
  <c r="R16" i="191"/>
  <c r="G16" i="191"/>
  <c r="Q16" i="191" s="1"/>
  <c r="B16" i="191"/>
  <c r="P16" i="191" s="1"/>
  <c r="AJ15" i="191"/>
  <c r="T15" i="191"/>
  <c r="S15" i="191"/>
  <c r="R15" i="191"/>
  <c r="G15" i="191"/>
  <c r="Q15" i="191" s="1"/>
  <c r="B15" i="191"/>
  <c r="P15" i="191" s="1"/>
  <c r="AJ15" i="190"/>
  <c r="T15" i="190"/>
  <c r="S15" i="190"/>
  <c r="R15" i="190"/>
  <c r="G15" i="190"/>
  <c r="Q15" i="190" s="1"/>
  <c r="B15" i="190"/>
  <c r="P15" i="190" s="1"/>
  <c r="D9" i="364"/>
  <c r="AJ14" i="363"/>
  <c r="T14" i="363"/>
  <c r="S14" i="363"/>
  <c r="R14" i="363"/>
  <c r="G14" i="363"/>
  <c r="Q14" i="363" s="1"/>
  <c r="B14" i="363"/>
  <c r="P14" i="363" s="1"/>
  <c r="D9" i="191" l="1"/>
  <c r="D9" i="379"/>
  <c r="D9" i="378"/>
  <c r="AM165" i="25"/>
  <c r="AJ22" i="379" l="1"/>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4" i="379"/>
  <c r="T14" i="379"/>
  <c r="S14" i="379"/>
  <c r="R14" i="379"/>
  <c r="G14" i="379"/>
  <c r="Q14" i="379" s="1"/>
  <c r="B14" i="379"/>
  <c r="P14" i="379" s="1"/>
  <c r="AJ13" i="379"/>
  <c r="T13" i="379"/>
  <c r="S13" i="379"/>
  <c r="R13" i="379"/>
  <c r="G13" i="379"/>
  <c r="Q13" i="379" s="1"/>
  <c r="B13" i="379"/>
  <c r="P13" i="379"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C63" i="176" l="1"/>
  <c r="C62" i="176"/>
  <c r="C126" i="176" l="1"/>
  <c r="B158" i="25"/>
  <c r="O158" i="25" s="1"/>
  <c r="BK158" i="25" s="1"/>
  <c r="A158" i="25"/>
  <c r="AJ21" i="377"/>
  <c r="T21" i="377"/>
  <c r="S21" i="377"/>
  <c r="R21" i="377"/>
  <c r="Q21" i="377"/>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J137" i="176"/>
  <c r="E134" i="176"/>
  <c r="J131" i="176"/>
  <c r="T128" i="176"/>
  <c r="E128" i="176"/>
  <c r="W126" i="176"/>
  <c r="C125" i="176"/>
  <c r="W125" i="176" s="1"/>
  <c r="W124" i="176"/>
  <c r="AM158" i="25"/>
  <c r="E19" i="176" l="1"/>
  <c r="AJ19" i="358"/>
  <c r="T19" i="358"/>
  <c r="S19" i="358"/>
  <c r="R19" i="358"/>
  <c r="G19" i="358"/>
  <c r="Q19" i="358" s="1"/>
  <c r="B19" i="358"/>
  <c r="P19" i="358" s="1"/>
  <c r="AJ18" i="358"/>
  <c r="T18" i="358"/>
  <c r="S18" i="358"/>
  <c r="R18" i="358"/>
  <c r="G18" i="358"/>
  <c r="Q18" i="358" s="1"/>
  <c r="B18" i="358"/>
  <c r="P18" i="358" s="1"/>
  <c r="C16" i="176"/>
  <c r="W16" i="176" s="1"/>
  <c r="T19" i="176"/>
  <c r="W17" i="176"/>
  <c r="W15" i="176"/>
  <c r="AJ17" i="360" l="1"/>
  <c r="T17" i="360"/>
  <c r="S17" i="360"/>
  <c r="R17" i="360"/>
  <c r="G17" i="360"/>
  <c r="Q17" i="360" s="1"/>
  <c r="B17" i="360"/>
  <c r="P17" i="360" s="1"/>
  <c r="J119" i="176" l="1"/>
  <c r="J116" i="176"/>
  <c r="E113" i="176"/>
  <c r="E110" i="176"/>
  <c r="E95" i="176"/>
  <c r="E154" i="178"/>
  <c r="T151" i="178"/>
  <c r="E151" i="178"/>
  <c r="E142" i="178"/>
  <c r="T139" i="178"/>
  <c r="E139" i="178"/>
  <c r="E130" i="178"/>
  <c r="T127" i="178"/>
  <c r="E127" i="178"/>
  <c r="E118" i="178"/>
  <c r="T115" i="178"/>
  <c r="E115" i="178"/>
  <c r="E106" i="178"/>
  <c r="T103" i="178"/>
  <c r="E103" i="178"/>
  <c r="E94" i="178"/>
  <c r="T91" i="178"/>
  <c r="E91"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82" i="178"/>
  <c r="T79" i="178"/>
  <c r="E79" i="178"/>
  <c r="E70" i="178"/>
  <c r="T67" i="178"/>
  <c r="E67" i="178"/>
  <c r="E58" i="178"/>
  <c r="T55" i="178"/>
  <c r="E55" i="178"/>
  <c r="E46" i="178"/>
  <c r="T43" i="178"/>
  <c r="E43" i="178"/>
  <c r="E34" i="178"/>
  <c r="T31" i="178"/>
  <c r="E31" i="178"/>
  <c r="E22" i="178"/>
  <c r="T19" i="178"/>
  <c r="E19" i="178"/>
  <c r="E10" i="178"/>
  <c r="T7" i="178"/>
  <c r="E7" i="178"/>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G20" i="376"/>
  <c r="Q20" i="376" s="1"/>
  <c r="B20" i="376"/>
  <c r="P20" i="376" s="1"/>
  <c r="AJ19" i="376"/>
  <c r="T19" i="376"/>
  <c r="S19" i="376"/>
  <c r="R19" i="376"/>
  <c r="G19" i="376"/>
  <c r="Q19" i="376" s="1"/>
  <c r="B19" i="376"/>
  <c r="P19"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AJ41" i="375"/>
  <c r="T41" i="375"/>
  <c r="S41" i="375"/>
  <c r="R41" i="375"/>
  <c r="G41" i="375"/>
  <c r="Q41" i="375" s="1"/>
  <c r="B41" i="375"/>
  <c r="P41" i="375" s="1"/>
  <c r="AJ40" i="375"/>
  <c r="T40" i="375"/>
  <c r="S40" i="375"/>
  <c r="R40" i="375"/>
  <c r="G40" i="375"/>
  <c r="Q40" i="375" s="1"/>
  <c r="B40" i="375"/>
  <c r="P40" i="375" s="1"/>
  <c r="AJ39" i="375"/>
  <c r="T39" i="375"/>
  <c r="S39" i="375"/>
  <c r="R39" i="375"/>
  <c r="G39" i="375"/>
  <c r="Q39" i="375" s="1"/>
  <c r="B39" i="375"/>
  <c r="P39" i="375" s="1"/>
  <c r="AJ38" i="375"/>
  <c r="T38" i="375"/>
  <c r="S38" i="375"/>
  <c r="R38" i="375"/>
  <c r="G38" i="375"/>
  <c r="Q38" i="375" s="1"/>
  <c r="B38" i="375"/>
  <c r="P38" i="375" s="1"/>
  <c r="AJ37" i="375"/>
  <c r="T37" i="375"/>
  <c r="S37" i="375"/>
  <c r="R37" i="375"/>
  <c r="G37" i="375"/>
  <c r="Q37" i="375" s="1"/>
  <c r="B37" i="375"/>
  <c r="P37" i="375" s="1"/>
  <c r="AJ36" i="375"/>
  <c r="T36" i="375"/>
  <c r="S36" i="375"/>
  <c r="R36" i="375"/>
  <c r="G36" i="375"/>
  <c r="Q36" i="375" s="1"/>
  <c r="B36" i="375"/>
  <c r="P36" i="375" s="1"/>
  <c r="AJ35" i="375"/>
  <c r="T35" i="375"/>
  <c r="S35" i="375"/>
  <c r="R35" i="375"/>
  <c r="G35" i="375"/>
  <c r="Q35" i="375" s="1"/>
  <c r="B35" i="375"/>
  <c r="P35" i="375" s="1"/>
  <c r="AJ34" i="375"/>
  <c r="T34" i="375"/>
  <c r="S34" i="375"/>
  <c r="R34" i="375"/>
  <c r="G34" i="375"/>
  <c r="Q34" i="375" s="1"/>
  <c r="B34" i="375"/>
  <c r="P34" i="375" s="1"/>
  <c r="AJ33" i="375"/>
  <c r="T33" i="375"/>
  <c r="S33" i="375"/>
  <c r="R33" i="375"/>
  <c r="G33" i="375"/>
  <c r="Q33" i="375" s="1"/>
  <c r="B33" i="375"/>
  <c r="P33" i="375" s="1"/>
  <c r="AJ32" i="375"/>
  <c r="T32" i="375"/>
  <c r="S32" i="375"/>
  <c r="R32" i="375"/>
  <c r="G32" i="375"/>
  <c r="Q32" i="375" s="1"/>
  <c r="B32" i="375"/>
  <c r="P32" i="375" s="1"/>
  <c r="AJ31" i="375"/>
  <c r="T31" i="375"/>
  <c r="S31" i="375"/>
  <c r="R31" i="375"/>
  <c r="G31" i="375"/>
  <c r="Q31" i="375" s="1"/>
  <c r="B31" i="375"/>
  <c r="P31" i="375" s="1"/>
  <c r="AJ30" i="375"/>
  <c r="T30" i="375"/>
  <c r="S30" i="375"/>
  <c r="R30" i="375"/>
  <c r="G30" i="375"/>
  <c r="Q30" i="375" s="1"/>
  <c r="B30" i="375"/>
  <c r="P30" i="375" s="1"/>
  <c r="AJ29" i="375"/>
  <c r="T29" i="375"/>
  <c r="S29" i="375"/>
  <c r="R29" i="375"/>
  <c r="G29" i="375"/>
  <c r="Q29" i="375" s="1"/>
  <c r="B29" i="375"/>
  <c r="P29" i="375" s="1"/>
  <c r="AJ28" i="375"/>
  <c r="T28" i="375"/>
  <c r="S28" i="375"/>
  <c r="R28" i="375"/>
  <c r="G28" i="375"/>
  <c r="Q28" i="375" s="1"/>
  <c r="B28" i="375"/>
  <c r="P28" i="375" s="1"/>
  <c r="AJ27" i="375"/>
  <c r="T27" i="375"/>
  <c r="S27" i="375"/>
  <c r="R27" i="375"/>
  <c r="G27" i="375"/>
  <c r="Q27" i="375" s="1"/>
  <c r="B27" i="375"/>
  <c r="P27" i="375" s="1"/>
  <c r="AJ26" i="375"/>
  <c r="T26" i="375"/>
  <c r="S26" i="375"/>
  <c r="R26" i="375"/>
  <c r="G26" i="375"/>
  <c r="Q26" i="375" s="1"/>
  <c r="B26" i="375"/>
  <c r="P26" i="375" s="1"/>
  <c r="AJ25" i="375"/>
  <c r="T25" i="375"/>
  <c r="S25" i="375"/>
  <c r="R25" i="375"/>
  <c r="G25" i="375"/>
  <c r="Q25" i="375" s="1"/>
  <c r="B25" i="375"/>
  <c r="P25" i="375" s="1"/>
  <c r="AJ24" i="375"/>
  <c r="T24" i="375"/>
  <c r="S24" i="375"/>
  <c r="R24" i="375"/>
  <c r="G24" i="375"/>
  <c r="Q24" i="375" s="1"/>
  <c r="B24" i="375"/>
  <c r="P24" i="375" s="1"/>
  <c r="AJ23" i="375"/>
  <c r="T23" i="375"/>
  <c r="S23" i="375"/>
  <c r="R23" i="375"/>
  <c r="G23" i="375"/>
  <c r="Q23" i="375" s="1"/>
  <c r="B23" i="375"/>
  <c r="P23" i="375" s="1"/>
  <c r="AJ22" i="375"/>
  <c r="T22" i="375"/>
  <c r="S22" i="375"/>
  <c r="R22" i="375"/>
  <c r="G22" i="375"/>
  <c r="Q22" i="375" s="1"/>
  <c r="B22" i="375"/>
  <c r="P22" i="375" s="1"/>
  <c r="AJ21" i="375"/>
  <c r="T21" i="375"/>
  <c r="S21" i="375"/>
  <c r="R21" i="375"/>
  <c r="G21" i="375"/>
  <c r="Q21" i="375" s="1"/>
  <c r="B21" i="375"/>
  <c r="P21" i="375" s="1"/>
  <c r="AJ20" i="375"/>
  <c r="T20" i="375"/>
  <c r="S20" i="375"/>
  <c r="R20" i="375"/>
  <c r="G20" i="375"/>
  <c r="Q20" i="375" s="1"/>
  <c r="B20" i="375"/>
  <c r="P20" i="375" s="1"/>
  <c r="AJ19" i="375"/>
  <c r="T19" i="375"/>
  <c r="S19" i="375"/>
  <c r="R19" i="375"/>
  <c r="G19" i="375"/>
  <c r="Q19" i="375" s="1"/>
  <c r="B19" i="375"/>
  <c r="P19" i="375" s="1"/>
  <c r="AJ18" i="375"/>
  <c r="T18" i="375"/>
  <c r="S18" i="375"/>
  <c r="R18" i="375"/>
  <c r="G18" i="375"/>
  <c r="Q18" i="375" s="1"/>
  <c r="B18" i="375"/>
  <c r="P18" i="375" s="1"/>
  <c r="AJ17" i="375"/>
  <c r="T17" i="375"/>
  <c r="S17" i="375"/>
  <c r="R17" i="375"/>
  <c r="G17" i="375"/>
  <c r="Q17" i="375" s="1"/>
  <c r="B17" i="375"/>
  <c r="P17" i="375" s="1"/>
  <c r="AJ16" i="375"/>
  <c r="T16" i="375"/>
  <c r="S16" i="375"/>
  <c r="R16" i="375"/>
  <c r="G16" i="375"/>
  <c r="Q16" i="375" s="1"/>
  <c r="B16" i="375"/>
  <c r="P16" i="375" s="1"/>
  <c r="AJ15" i="375"/>
  <c r="T15" i="375"/>
  <c r="S15" i="375"/>
  <c r="R15" i="375"/>
  <c r="G15" i="375"/>
  <c r="Q15" i="375" s="1"/>
  <c r="B15" i="375"/>
  <c r="P15" i="375" s="1"/>
  <c r="AJ14" i="375"/>
  <c r="T14" i="375"/>
  <c r="S14" i="375"/>
  <c r="R14" i="375"/>
  <c r="G14" i="375"/>
  <c r="Q14" i="375" s="1"/>
  <c r="B14" i="375"/>
  <c r="P14" i="375" s="1"/>
  <c r="AJ13" i="375"/>
  <c r="T13" i="375"/>
  <c r="S13" i="375"/>
  <c r="R13" i="375"/>
  <c r="G13" i="375"/>
  <c r="Q13" i="375" s="1"/>
  <c r="B13" i="375"/>
  <c r="P13" i="375" s="1"/>
  <c r="D9" i="375"/>
  <c r="AJ23" i="374"/>
  <c r="T23" i="374"/>
  <c r="S23" i="374"/>
  <c r="R23" i="374"/>
  <c r="G23" i="374"/>
  <c r="Q23" i="374" s="1"/>
  <c r="B23" i="374"/>
  <c r="P23" i="374" s="1"/>
  <c r="AJ22" i="374"/>
  <c r="T22" i="374"/>
  <c r="S22" i="374"/>
  <c r="R22" i="374"/>
  <c r="G22" i="374"/>
  <c r="Q22" i="374" s="1"/>
  <c r="B22" i="374"/>
  <c r="P22" i="374" s="1"/>
  <c r="AJ21" i="374"/>
  <c r="T21" i="374"/>
  <c r="S21" i="374"/>
  <c r="R21" i="374"/>
  <c r="G21" i="374"/>
  <c r="Q21" i="374" s="1"/>
  <c r="B21" i="374"/>
  <c r="P21" i="374" s="1"/>
  <c r="AJ20" i="374"/>
  <c r="T20" i="374"/>
  <c r="S20" i="374"/>
  <c r="R20" i="374"/>
  <c r="G20" i="374"/>
  <c r="Q20" i="374" s="1"/>
  <c r="B20" i="374"/>
  <c r="P20" i="374" s="1"/>
  <c r="AJ19" i="374"/>
  <c r="T19" i="374"/>
  <c r="S19" i="374"/>
  <c r="R19" i="374"/>
  <c r="G19" i="374"/>
  <c r="Q19" i="374" s="1"/>
  <c r="B19" i="374"/>
  <c r="P19"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374"/>
  <c r="AJ22" i="373"/>
  <c r="T22" i="373"/>
  <c r="S22" i="373"/>
  <c r="R22" i="373"/>
  <c r="G22" i="373"/>
  <c r="Q22" i="373" s="1"/>
  <c r="B22" i="373"/>
  <c r="P22" i="373" s="1"/>
  <c r="AJ21" i="373"/>
  <c r="T21" i="373"/>
  <c r="S21" i="373"/>
  <c r="R21" i="373"/>
  <c r="G21" i="373"/>
  <c r="Q21" i="373" s="1"/>
  <c r="B21" i="373"/>
  <c r="P21" i="373" s="1"/>
  <c r="AJ20" i="373"/>
  <c r="T20" i="373"/>
  <c r="S20" i="373"/>
  <c r="R20" i="373"/>
  <c r="G20" i="373"/>
  <c r="Q20" i="373" s="1"/>
  <c r="B20" i="373"/>
  <c r="P20" i="373" s="1"/>
  <c r="AJ19" i="373"/>
  <c r="T19" i="373"/>
  <c r="S19" i="373"/>
  <c r="R19" i="373"/>
  <c r="G19" i="373"/>
  <c r="Q19" i="373" s="1"/>
  <c r="B19" i="373"/>
  <c r="P19" i="373" s="1"/>
  <c r="AJ18" i="373"/>
  <c r="T18" i="373"/>
  <c r="S18" i="373"/>
  <c r="R18" i="373"/>
  <c r="G18" i="373"/>
  <c r="Q18" i="373" s="1"/>
  <c r="B18" i="373"/>
  <c r="P18" i="373" s="1"/>
  <c r="AJ17" i="373"/>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D9" i="373"/>
  <c r="AJ22" i="372"/>
  <c r="T22" i="372"/>
  <c r="S22" i="372"/>
  <c r="R22" i="372"/>
  <c r="G22" i="372"/>
  <c r="Q22" i="372" s="1"/>
  <c r="B22" i="372"/>
  <c r="P22" i="372" s="1"/>
  <c r="AJ21" i="372"/>
  <c r="T21" i="372"/>
  <c r="S21" i="372"/>
  <c r="R21" i="372"/>
  <c r="G21" i="372"/>
  <c r="Q21" i="372" s="1"/>
  <c r="B21" i="372"/>
  <c r="P21" i="372" s="1"/>
  <c r="AJ20" i="372"/>
  <c r="T20" i="372"/>
  <c r="S20" i="372"/>
  <c r="R20" i="372"/>
  <c r="G20" i="372"/>
  <c r="Q20" i="372" s="1"/>
  <c r="B20" i="372"/>
  <c r="P20" i="372" s="1"/>
  <c r="AJ19" i="372"/>
  <c r="T19" i="372"/>
  <c r="S19" i="372"/>
  <c r="R19" i="372"/>
  <c r="G19" i="372"/>
  <c r="Q19" i="372" s="1"/>
  <c r="B19" i="372"/>
  <c r="P19" i="372" s="1"/>
  <c r="AJ18" i="372"/>
  <c r="T18" i="372"/>
  <c r="S18" i="372"/>
  <c r="R18" i="372"/>
  <c r="G18" i="372"/>
  <c r="Q18" i="372" s="1"/>
  <c r="B18" i="372"/>
  <c r="P18" i="372"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4" i="372"/>
  <c r="T14" i="372"/>
  <c r="S14" i="372"/>
  <c r="R14" i="372"/>
  <c r="G14" i="372"/>
  <c r="Q14" i="372" s="1"/>
  <c r="B14" i="372"/>
  <c r="P14" i="372" s="1"/>
  <c r="AJ13" i="372"/>
  <c r="T13" i="372"/>
  <c r="S13" i="372"/>
  <c r="R13" i="372"/>
  <c r="G13" i="372"/>
  <c r="Q13" i="372" s="1"/>
  <c r="B13" i="372"/>
  <c r="P13" i="372" s="1"/>
  <c r="D9" i="372"/>
  <c r="AJ46" i="371"/>
  <c r="T46" i="371"/>
  <c r="S46" i="371"/>
  <c r="R46" i="371"/>
  <c r="G46" i="371"/>
  <c r="Q46" i="371" s="1"/>
  <c r="B46" i="371"/>
  <c r="P46" i="371" s="1"/>
  <c r="AJ45" i="371"/>
  <c r="T45" i="371"/>
  <c r="S45" i="371"/>
  <c r="R45" i="371"/>
  <c r="G45" i="371"/>
  <c r="Q45" i="371" s="1"/>
  <c r="B45" i="371"/>
  <c r="P45" i="371" s="1"/>
  <c r="AJ44" i="371"/>
  <c r="T44" i="371"/>
  <c r="S44" i="371"/>
  <c r="R44" i="371"/>
  <c r="G44" i="371"/>
  <c r="Q44" i="371" s="1"/>
  <c r="B44" i="371"/>
  <c r="P44" i="371" s="1"/>
  <c r="AJ43" i="371"/>
  <c r="T43" i="371"/>
  <c r="S43" i="371"/>
  <c r="R43" i="371"/>
  <c r="G43" i="371"/>
  <c r="Q43" i="371" s="1"/>
  <c r="B43" i="371"/>
  <c r="P43" i="371" s="1"/>
  <c r="AJ42" i="371"/>
  <c r="T42" i="371"/>
  <c r="S42" i="371"/>
  <c r="R42" i="371"/>
  <c r="G42" i="371"/>
  <c r="Q42" i="371" s="1"/>
  <c r="B42" i="371"/>
  <c r="P42" i="371" s="1"/>
  <c r="AJ41" i="371"/>
  <c r="T41" i="371"/>
  <c r="S41" i="371"/>
  <c r="R41" i="371"/>
  <c r="G41" i="371"/>
  <c r="Q41" i="371" s="1"/>
  <c r="B41" i="371"/>
  <c r="P41" i="371" s="1"/>
  <c r="AJ40" i="371"/>
  <c r="T40" i="371"/>
  <c r="S40" i="371"/>
  <c r="R40" i="371"/>
  <c r="G40" i="371"/>
  <c r="Q40" i="371" s="1"/>
  <c r="B40" i="371"/>
  <c r="P40" i="371" s="1"/>
  <c r="AJ39" i="371"/>
  <c r="T39" i="371"/>
  <c r="S39" i="371"/>
  <c r="R39" i="371"/>
  <c r="G39" i="371"/>
  <c r="Q39" i="371" s="1"/>
  <c r="B39" i="371"/>
  <c r="P39" i="371" s="1"/>
  <c r="AJ38" i="371"/>
  <c r="T38" i="371"/>
  <c r="S38" i="371"/>
  <c r="R38" i="371"/>
  <c r="G38" i="371"/>
  <c r="Q38" i="371" s="1"/>
  <c r="B38" i="371"/>
  <c r="P38" i="371" s="1"/>
  <c r="AJ37" i="371"/>
  <c r="T37" i="371"/>
  <c r="S37" i="371"/>
  <c r="R37" i="371"/>
  <c r="G37" i="371"/>
  <c r="Q37" i="371" s="1"/>
  <c r="B37" i="371"/>
  <c r="P37" i="371" s="1"/>
  <c r="AJ36" i="371"/>
  <c r="T36" i="371"/>
  <c r="S36" i="371"/>
  <c r="R36" i="371"/>
  <c r="G36" i="371"/>
  <c r="Q36" i="371" s="1"/>
  <c r="B36" i="371"/>
  <c r="P36" i="371" s="1"/>
  <c r="AJ35" i="371"/>
  <c r="T35" i="371"/>
  <c r="S35" i="371"/>
  <c r="R35" i="371"/>
  <c r="G35" i="371"/>
  <c r="Q35" i="371" s="1"/>
  <c r="B35" i="371"/>
  <c r="P35" i="371" s="1"/>
  <c r="AJ34" i="371"/>
  <c r="T34" i="371"/>
  <c r="S34" i="371"/>
  <c r="R34" i="371"/>
  <c r="G34" i="371"/>
  <c r="Q34" i="371" s="1"/>
  <c r="B34" i="371"/>
  <c r="P34" i="371" s="1"/>
  <c r="AJ33" i="371"/>
  <c r="T33" i="371"/>
  <c r="S33" i="371"/>
  <c r="R33" i="371"/>
  <c r="G33" i="371"/>
  <c r="Q33" i="371" s="1"/>
  <c r="B33" i="371"/>
  <c r="P33" i="371" s="1"/>
  <c r="AJ32" i="371"/>
  <c r="T32" i="371"/>
  <c r="S32" i="371"/>
  <c r="R32" i="371"/>
  <c r="G32" i="371"/>
  <c r="Q32" i="371" s="1"/>
  <c r="B32" i="371"/>
  <c r="P32" i="371" s="1"/>
  <c r="AJ31" i="371"/>
  <c r="T31" i="371"/>
  <c r="S31" i="371"/>
  <c r="R31" i="371"/>
  <c r="G31" i="371"/>
  <c r="Q31" i="371" s="1"/>
  <c r="B31" i="371"/>
  <c r="P31" i="371" s="1"/>
  <c r="AJ30" i="371"/>
  <c r="T30" i="371"/>
  <c r="S30" i="371"/>
  <c r="R30" i="371"/>
  <c r="G30" i="371"/>
  <c r="Q30" i="371" s="1"/>
  <c r="B30" i="371"/>
  <c r="P30" i="371" s="1"/>
  <c r="AJ29" i="371"/>
  <c r="T29" i="371"/>
  <c r="S29" i="371"/>
  <c r="R29" i="371"/>
  <c r="G29" i="371"/>
  <c r="Q29" i="371" s="1"/>
  <c r="B29" i="371"/>
  <c r="P29" i="371" s="1"/>
  <c r="AJ28" i="371"/>
  <c r="T28" i="371"/>
  <c r="S28" i="371"/>
  <c r="R28" i="371"/>
  <c r="G28" i="371"/>
  <c r="Q28" i="371" s="1"/>
  <c r="B28" i="371"/>
  <c r="P28" i="371" s="1"/>
  <c r="AJ27" i="371"/>
  <c r="T27" i="371"/>
  <c r="S27" i="371"/>
  <c r="R27" i="371"/>
  <c r="G27" i="371"/>
  <c r="Q27" i="371" s="1"/>
  <c r="B27" i="371"/>
  <c r="P27" i="371" s="1"/>
  <c r="AJ26" i="371"/>
  <c r="T26" i="371"/>
  <c r="S26" i="371"/>
  <c r="R26" i="371"/>
  <c r="G26" i="371"/>
  <c r="Q26" i="371" s="1"/>
  <c r="B26" i="371"/>
  <c r="P26" i="371" s="1"/>
  <c r="AJ25" i="371"/>
  <c r="T25" i="371"/>
  <c r="S25" i="371"/>
  <c r="R25" i="371"/>
  <c r="G25" i="371"/>
  <c r="Q25" i="371" s="1"/>
  <c r="B25" i="371"/>
  <c r="P25" i="371" s="1"/>
  <c r="AJ24" i="371"/>
  <c r="T24" i="371"/>
  <c r="S24" i="371"/>
  <c r="R24" i="371"/>
  <c r="G24" i="371"/>
  <c r="Q24" i="371" s="1"/>
  <c r="B24" i="371"/>
  <c r="P24" i="371" s="1"/>
  <c r="AJ23" i="371"/>
  <c r="T23" i="371"/>
  <c r="S23" i="371"/>
  <c r="R23" i="371"/>
  <c r="G23" i="371"/>
  <c r="Q23" i="371" s="1"/>
  <c r="B23" i="371"/>
  <c r="P23" i="371" s="1"/>
  <c r="AJ22" i="371"/>
  <c r="T22" i="371"/>
  <c r="S22" i="371"/>
  <c r="R22" i="371"/>
  <c r="G22" i="371"/>
  <c r="Q22" i="371" s="1"/>
  <c r="B22" i="371"/>
  <c r="P22" i="371" s="1"/>
  <c r="AJ21" i="371"/>
  <c r="T21" i="371"/>
  <c r="S21" i="371"/>
  <c r="R21" i="371"/>
  <c r="G21" i="371"/>
  <c r="Q21" i="371" s="1"/>
  <c r="B21" i="371"/>
  <c r="P21" i="371" s="1"/>
  <c r="AJ20" i="371"/>
  <c r="T20" i="371"/>
  <c r="S20" i="371"/>
  <c r="R20" i="371"/>
  <c r="G20" i="371"/>
  <c r="Q20" i="371" s="1"/>
  <c r="B20" i="371"/>
  <c r="P20" i="371" s="1"/>
  <c r="AJ19" i="371"/>
  <c r="T19" i="371"/>
  <c r="S19" i="371"/>
  <c r="R19" i="371"/>
  <c r="G19" i="371"/>
  <c r="Q19" i="371" s="1"/>
  <c r="B19" i="371"/>
  <c r="P19" i="371" s="1"/>
  <c r="AJ18" i="371"/>
  <c r="T18" i="371"/>
  <c r="S18" i="371"/>
  <c r="R18" i="371"/>
  <c r="G18" i="371"/>
  <c r="Q18" i="371" s="1"/>
  <c r="B18" i="371"/>
  <c r="P18" i="371" s="1"/>
  <c r="AJ17" i="371"/>
  <c r="T17" i="371"/>
  <c r="S17" i="371"/>
  <c r="R17" i="371"/>
  <c r="G17" i="371"/>
  <c r="Q17" i="371" s="1"/>
  <c r="B17" i="371"/>
  <c r="P17" i="371" s="1"/>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D9" i="371"/>
  <c r="R151" i="178"/>
  <c r="C149" i="178" s="1"/>
  <c r="W149" i="178" s="1"/>
  <c r="W147" i="178"/>
  <c r="R139" i="178"/>
  <c r="C136" i="178" s="1"/>
  <c r="W136" i="178" s="1"/>
  <c r="W135" i="178"/>
  <c r="R127" i="178"/>
  <c r="C124" i="178" s="1"/>
  <c r="W124" i="178" s="1"/>
  <c r="W123" i="178"/>
  <c r="R115" i="178"/>
  <c r="C113" i="178" s="1"/>
  <c r="W113" i="178" s="1"/>
  <c r="W111" i="178"/>
  <c r="R103" i="178"/>
  <c r="C101" i="178" s="1"/>
  <c r="W101" i="178" s="1"/>
  <c r="W99" i="178"/>
  <c r="R91" i="178"/>
  <c r="C89" i="178" s="1"/>
  <c r="W89" i="178" s="1"/>
  <c r="W87" i="178"/>
  <c r="B178" i="25"/>
  <c r="BK178" i="25" s="1"/>
  <c r="A178" i="25"/>
  <c r="B177" i="25"/>
  <c r="BK177" i="25" s="1"/>
  <c r="A177" i="25"/>
  <c r="B176" i="25"/>
  <c r="BK176" i="25" s="1"/>
  <c r="A176" i="25"/>
  <c r="B175" i="25"/>
  <c r="BK175" i="25" s="1"/>
  <c r="A175" i="25"/>
  <c r="B174" i="25"/>
  <c r="BK174" i="25" s="1"/>
  <c r="A174" i="25"/>
  <c r="BK202" i="25"/>
  <c r="A202" i="25"/>
  <c r="AM177" i="25"/>
  <c r="AM178" i="25"/>
  <c r="AM175" i="25"/>
  <c r="C148" i="178" l="1"/>
  <c r="W148" i="178" s="1"/>
  <c r="C125" i="178"/>
  <c r="W125" i="178" s="1"/>
  <c r="C137" i="178"/>
  <c r="W137" i="178" s="1"/>
  <c r="C88" i="178"/>
  <c r="W88" i="178" s="1"/>
  <c r="C100" i="178"/>
  <c r="W100" i="178" s="1"/>
  <c r="C112" i="178"/>
  <c r="W112" i="178" s="1"/>
  <c r="C5" i="176"/>
  <c r="C26" i="176"/>
  <c r="C38" i="176"/>
  <c r="AM174" i="25"/>
  <c r="AM176" i="25"/>
  <c r="E104" i="176" l="1"/>
  <c r="C90" i="176"/>
  <c r="O83" i="176"/>
  <c r="J80" i="176"/>
  <c r="J77" i="176"/>
  <c r="J74" i="176"/>
  <c r="J71" i="176"/>
  <c r="E68" i="176"/>
  <c r="T65" i="176"/>
  <c r="E65" i="176"/>
  <c r="W63" i="176"/>
  <c r="W62" i="176"/>
  <c r="W61" i="176"/>
  <c r="R637" i="174" l="1"/>
  <c r="T727" i="174" l="1"/>
  <c r="R727" i="174"/>
  <c r="C725" i="174" s="1"/>
  <c r="W725" i="174" s="1"/>
  <c r="W723" i="174"/>
  <c r="T718" i="174"/>
  <c r="R718" i="174"/>
  <c r="C716" i="174" s="1"/>
  <c r="W716" i="174" s="1"/>
  <c r="W714" i="174"/>
  <c r="T709" i="174"/>
  <c r="R709" i="174"/>
  <c r="C707" i="174" s="1"/>
  <c r="W707" i="174" s="1"/>
  <c r="W705" i="174"/>
  <c r="T700" i="174"/>
  <c r="R700" i="174"/>
  <c r="C698" i="174" s="1"/>
  <c r="W698" i="174" s="1"/>
  <c r="W696" i="174"/>
  <c r="T691" i="174"/>
  <c r="R691" i="174"/>
  <c r="C689" i="174" s="1"/>
  <c r="W689" i="174" s="1"/>
  <c r="W687" i="174"/>
  <c r="R682" i="174"/>
  <c r="C680" i="174" s="1"/>
  <c r="T682" i="174"/>
  <c r="W678" i="174"/>
  <c r="C635" i="174"/>
  <c r="W635" i="174" s="1"/>
  <c r="T637" i="174"/>
  <c r="W634" i="174"/>
  <c r="W633" i="174"/>
  <c r="AJ22" i="370"/>
  <c r="T22" i="370"/>
  <c r="S22" i="370"/>
  <c r="R22" i="370"/>
  <c r="G22" i="370"/>
  <c r="Q22" i="370" s="1"/>
  <c r="B22" i="370"/>
  <c r="P22" i="370" s="1"/>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1" i="368"/>
  <c r="T21" i="368"/>
  <c r="S21" i="368"/>
  <c r="R21" i="368"/>
  <c r="G21" i="368"/>
  <c r="Q21" i="368" s="1"/>
  <c r="B21" i="368"/>
  <c r="P21" i="368" s="1"/>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4" i="25"/>
  <c r="AM75" i="25"/>
  <c r="AM77" i="25"/>
  <c r="AM76" i="25"/>
  <c r="AM78" i="25"/>
  <c r="AM73" i="25"/>
  <c r="C679" i="174" l="1"/>
  <c r="W679" i="174" s="1"/>
  <c r="C715" i="174"/>
  <c r="W715" i="174" s="1"/>
  <c r="C724" i="174"/>
  <c r="W724" i="174" s="1"/>
  <c r="C688" i="174"/>
  <c r="W688" i="174" s="1"/>
  <c r="C706" i="174"/>
  <c r="W706" i="174" s="1"/>
  <c r="C697" i="174"/>
  <c r="W697" i="174" s="1"/>
  <c r="W680" i="174"/>
  <c r="AJ17" i="364" l="1"/>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AJ19" i="363"/>
  <c r="T19" i="363"/>
  <c r="S19" i="363"/>
  <c r="R19" i="363"/>
  <c r="G19" i="363"/>
  <c r="Q19" i="363" s="1"/>
  <c r="B19" i="363"/>
  <c r="P19" i="363" s="1"/>
  <c r="AJ20" i="363"/>
  <c r="T20" i="363"/>
  <c r="S20" i="363"/>
  <c r="R20" i="363"/>
  <c r="G20" i="363"/>
  <c r="Q20" i="363" s="1"/>
  <c r="B20" i="363"/>
  <c r="P20" i="363" s="1"/>
  <c r="AJ21" i="363"/>
  <c r="T21" i="363"/>
  <c r="S21" i="363"/>
  <c r="R21" i="363"/>
  <c r="G21" i="363"/>
  <c r="Q21" i="363" s="1"/>
  <c r="B21" i="363"/>
  <c r="P21"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3" i="363"/>
  <c r="T13" i="363"/>
  <c r="S13" i="363"/>
  <c r="R13" i="363"/>
  <c r="G13" i="363"/>
  <c r="Q13" i="363" s="1"/>
  <c r="B13" i="363"/>
  <c r="P13" i="363" s="1"/>
  <c r="AJ20" i="360"/>
  <c r="T20" i="360"/>
  <c r="S20" i="360"/>
  <c r="R20" i="360"/>
  <c r="G20" i="360"/>
  <c r="Q20" i="360" s="1"/>
  <c r="B20" i="360"/>
  <c r="P20" i="360" s="1"/>
  <c r="AJ18" i="360"/>
  <c r="T18" i="360"/>
  <c r="S18" i="360"/>
  <c r="R18" i="360"/>
  <c r="G18" i="360"/>
  <c r="Q18" i="360" s="1"/>
  <c r="B18" i="360"/>
  <c r="P18" i="360" s="1"/>
  <c r="AJ19" i="360" l="1"/>
  <c r="T19" i="360"/>
  <c r="S19" i="360"/>
  <c r="R19" i="360"/>
  <c r="G19" i="360"/>
  <c r="Q19" i="360" s="1"/>
  <c r="B19" i="360"/>
  <c r="P19" i="360" s="1"/>
  <c r="AJ16" i="360"/>
  <c r="T16" i="360"/>
  <c r="S16" i="360"/>
  <c r="R16" i="360"/>
  <c r="G16" i="360"/>
  <c r="Q16" i="360" s="1"/>
  <c r="B16" i="360"/>
  <c r="P16" i="360" s="1"/>
  <c r="AJ21" i="362"/>
  <c r="T21" i="362"/>
  <c r="S21" i="362"/>
  <c r="R21" i="362"/>
  <c r="G21" i="362"/>
  <c r="Q21" i="362" s="1"/>
  <c r="B21" i="362"/>
  <c r="P21"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AJ21" i="360"/>
  <c r="T21" i="360"/>
  <c r="S21" i="360"/>
  <c r="R21" i="360"/>
  <c r="G21" i="360"/>
  <c r="Q21" i="360" s="1"/>
  <c r="B21" i="360"/>
  <c r="P21"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G15" i="189"/>
  <c r="Q15" i="189" s="1"/>
  <c r="B15" i="189"/>
  <c r="P15" i="189" s="1"/>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G13" i="358"/>
  <c r="Q13" i="358" s="1"/>
  <c r="B13" i="358"/>
  <c r="P13" i="358" s="1"/>
  <c r="B157" i="25"/>
  <c r="O157" i="25" s="1"/>
  <c r="BK157" i="25" s="1"/>
  <c r="A157" i="25"/>
  <c r="B156" i="25"/>
  <c r="O156" i="25" s="1"/>
  <c r="BK156" i="25" s="1"/>
  <c r="A156" i="25"/>
  <c r="B155" i="25"/>
  <c r="O155" i="25" s="1"/>
  <c r="BK155" i="25" s="1"/>
  <c r="A155" i="25"/>
  <c r="B154" i="25"/>
  <c r="O154" i="25" s="1"/>
  <c r="BK154" i="25" s="1"/>
  <c r="A154" i="25"/>
  <c r="O43" i="176"/>
  <c r="B164" i="25"/>
  <c r="O164" i="25" s="1"/>
  <c r="BK164" i="25" s="1"/>
  <c r="A164" i="25"/>
  <c r="B163" i="25"/>
  <c r="O163" i="25" s="1"/>
  <c r="BK163" i="25" s="1"/>
  <c r="A163" i="25"/>
  <c r="A166" i="25"/>
  <c r="B166" i="25"/>
  <c r="O166" i="25" s="1"/>
  <c r="AM157" i="25"/>
  <c r="AM155" i="25"/>
  <c r="AM156" i="25"/>
  <c r="AM163" i="25"/>
  <c r="AM154" i="25"/>
  <c r="AM166" i="25"/>
  <c r="AM164" i="25"/>
  <c r="BK166" i="25" l="1"/>
  <c r="AJ20" i="358" l="1"/>
  <c r="T20" i="358"/>
  <c r="S20" i="358"/>
  <c r="R20" i="358"/>
  <c r="G20" i="358"/>
  <c r="Q20" i="358" s="1"/>
  <c r="B20" i="358"/>
  <c r="P20" i="358" s="1"/>
  <c r="E161" i="176"/>
  <c r="E158" i="176"/>
  <c r="E155" i="176"/>
  <c r="E152" i="176"/>
  <c r="C144" i="176"/>
  <c r="W144" i="176" s="1"/>
  <c r="E149" i="176"/>
  <c r="T146" i="176"/>
  <c r="E146" i="176"/>
  <c r="C143" i="176"/>
  <c r="W143" i="176" s="1"/>
  <c r="W142" i="176"/>
  <c r="E101" i="176"/>
  <c r="J98" i="176"/>
  <c r="J31" i="176"/>
  <c r="C50" i="176"/>
  <c r="W50" i="176" s="1"/>
  <c r="T53" i="176"/>
  <c r="W51" i="176"/>
  <c r="W49" i="176"/>
  <c r="C37" i="176"/>
  <c r="C5" i="174" l="1"/>
  <c r="R427" i="178" l="1"/>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R355" i="178"/>
  <c r="C353" i="178" s="1"/>
  <c r="W353" i="178" s="1"/>
  <c r="W351" i="178"/>
  <c r="C412" i="178" l="1"/>
  <c r="W412" i="178" s="1"/>
  <c r="C388" i="178"/>
  <c r="W388" i="178" s="1"/>
  <c r="C424" i="178"/>
  <c r="W424" i="178" s="1"/>
  <c r="C400" i="178"/>
  <c r="W400" i="178" s="1"/>
  <c r="C376" i="178"/>
  <c r="W376" i="178" s="1"/>
  <c r="C364" i="178"/>
  <c r="W364" i="178" s="1"/>
  <c r="C352" i="178"/>
  <c r="W352" i="178" s="1"/>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259" i="178"/>
  <c r="C257" i="178" s="1"/>
  <c r="W257" i="178" s="1"/>
  <c r="W255" i="178"/>
  <c r="R187" i="178"/>
  <c r="C185" i="178" s="1"/>
  <c r="W185" i="178" s="1"/>
  <c r="W183" i="178"/>
  <c r="R175" i="178"/>
  <c r="C173" i="178" s="1"/>
  <c r="W173" i="178" s="1"/>
  <c r="W171" i="178"/>
  <c r="R163" i="178"/>
  <c r="C161" i="178" s="1"/>
  <c r="W161" i="178" s="1"/>
  <c r="W159" i="178"/>
  <c r="R79" i="178"/>
  <c r="C77" i="178" s="1"/>
  <c r="W77" i="178" s="1"/>
  <c r="W75" i="178"/>
  <c r="R67" i="178"/>
  <c r="C64" i="178" s="1"/>
  <c r="W64" i="178" s="1"/>
  <c r="W63" i="178"/>
  <c r="R55" i="178"/>
  <c r="C53" i="178" s="1"/>
  <c r="W53" i="178" s="1"/>
  <c r="W51" i="178"/>
  <c r="R43" i="178"/>
  <c r="C41" i="178" s="1"/>
  <c r="W41" i="178" s="1"/>
  <c r="W39" i="178"/>
  <c r="R31" i="178"/>
  <c r="C29" i="178" s="1"/>
  <c r="W29" i="178" s="1"/>
  <c r="W27" i="178"/>
  <c r="R19" i="178"/>
  <c r="C17" i="178" s="1"/>
  <c r="W17" i="178" s="1"/>
  <c r="W15" i="178"/>
  <c r="R7" i="178"/>
  <c r="C4" i="178" s="1"/>
  <c r="W4" i="178" s="1"/>
  <c r="W3" i="178"/>
  <c r="C172" i="178" l="1"/>
  <c r="W172" i="178" s="1"/>
  <c r="C16" i="178"/>
  <c r="W16" i="178" s="1"/>
  <c r="C280" i="178"/>
  <c r="W280" i="178" s="1"/>
  <c r="C340" i="178"/>
  <c r="W340" i="178" s="1"/>
  <c r="C28" i="178"/>
  <c r="W28" i="178" s="1"/>
  <c r="C304" i="178"/>
  <c r="W304" i="178" s="1"/>
  <c r="C40" i="178"/>
  <c r="W40" i="178" s="1"/>
  <c r="C256" i="178"/>
  <c r="W256" i="178" s="1"/>
  <c r="C328" i="178"/>
  <c r="W328" i="178" s="1"/>
  <c r="C316" i="178"/>
  <c r="W316" i="178" s="1"/>
  <c r="C292" i="178"/>
  <c r="W292" i="178" s="1"/>
  <c r="C268" i="178"/>
  <c r="W268" i="178" s="1"/>
  <c r="C184" i="178"/>
  <c r="W184" i="178" s="1"/>
  <c r="C160" i="178"/>
  <c r="W160" i="178" s="1"/>
  <c r="C76" i="178"/>
  <c r="W76" i="178" s="1"/>
  <c r="C65" i="178"/>
  <c r="W65" i="178" s="1"/>
  <c r="C52" i="178"/>
  <c r="W52" i="178" s="1"/>
  <c r="C5" i="178"/>
  <c r="W5" i="178" s="1"/>
  <c r="W23" i="177"/>
  <c r="E25" i="177"/>
  <c r="C22" i="177"/>
  <c r="W22" i="177" s="1"/>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Q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K201" i="25"/>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8" i="25"/>
  <c r="BK168" i="25" s="1"/>
  <c r="A168" i="25"/>
  <c r="AM197" i="25"/>
  <c r="AM171" i="25"/>
  <c r="AM183" i="25"/>
  <c r="AM181" i="25"/>
  <c r="AM182" i="25"/>
  <c r="AM199" i="25"/>
  <c r="AM189" i="25"/>
  <c r="AM180" i="25"/>
  <c r="AM169" i="25"/>
  <c r="AM200" i="25"/>
  <c r="AM202" i="25"/>
  <c r="AM192" i="25"/>
  <c r="AM194" i="25"/>
  <c r="AM184" i="25"/>
  <c r="AM170" i="25"/>
  <c r="AM198" i="25"/>
  <c r="AM187" i="25"/>
  <c r="AM168" i="25"/>
  <c r="AM186" i="25"/>
  <c r="AM191" i="25"/>
  <c r="AM201" i="25"/>
  <c r="AM188" i="25"/>
  <c r="AM195" i="25"/>
  <c r="AM185" i="25"/>
  <c r="AM172" i="25"/>
  <c r="AM173" i="25"/>
  <c r="AM193" i="25"/>
  <c r="AM196" i="25"/>
  <c r="AM190" i="25"/>
  <c r="Q22" i="352" l="1"/>
  <c r="Q17" i="339"/>
  <c r="R17" i="346"/>
  <c r="Q17" i="342"/>
  <c r="Q23" i="352"/>
  <c r="Q17" i="347"/>
  <c r="Q22" i="346"/>
  <c r="Q17" i="345"/>
  <c r="Q17" i="344"/>
  <c r="Q17" i="343"/>
  <c r="Q17" i="341"/>
  <c r="Q17" i="340"/>
  <c r="Q17" i="338"/>
  <c r="R17" i="337"/>
  <c r="Q17" i="336"/>
  <c r="Q17" i="335"/>
  <c r="R17" i="334"/>
  <c r="Q17" i="333"/>
  <c r="B162" i="25"/>
  <c r="O162" i="25" s="1"/>
  <c r="BK162" i="25" s="1"/>
  <c r="A162"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6" i="25"/>
  <c r="AM162" i="25"/>
  <c r="D4" i="331" l="1"/>
  <c r="D6" i="332"/>
  <c r="D5" i="331"/>
  <c r="D8" i="331" s="1"/>
  <c r="D5" i="332"/>
  <c r="D8" i="332" s="1"/>
  <c r="D4" i="332"/>
  <c r="D6" i="331"/>
  <c r="C89" i="176"/>
  <c r="W89" i="176" s="1"/>
  <c r="J107" i="176"/>
  <c r="T92" i="176"/>
  <c r="E92" i="176"/>
  <c r="W90" i="176"/>
  <c r="W88" i="176"/>
  <c r="T40" i="176"/>
  <c r="E40" i="176"/>
  <c r="E28" i="176"/>
  <c r="T28" i="176"/>
  <c r="C25"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51" i="25"/>
  <c r="AM52" i="25"/>
  <c r="AM54" i="25"/>
  <c r="AM47" i="25"/>
  <c r="AM41" i="25"/>
  <c r="AM55" i="25"/>
  <c r="AM53" i="25"/>
  <c r="AM38" i="25"/>
  <c r="AM50" i="25"/>
  <c r="AM48" i="25"/>
  <c r="AM36" i="25"/>
  <c r="AM44" i="25"/>
  <c r="AM37" i="25"/>
  <c r="AM45" i="25"/>
  <c r="AM49" i="25"/>
  <c r="AM43" i="25"/>
  <c r="AM42" i="25"/>
  <c r="AM40" i="25"/>
  <c r="AM46" i="25"/>
  <c r="AM39" i="25"/>
  <c r="Q23" i="309" l="1"/>
  <c r="Q22" i="309"/>
  <c r="BK96" i="25"/>
  <c r="A96" i="25"/>
  <c r="O228" i="25"/>
  <c r="BK70" i="25"/>
  <c r="A70" i="25"/>
  <c r="C22" i="174"/>
  <c r="W22" i="174" s="1"/>
  <c r="C21" i="174"/>
  <c r="W21" i="174" s="1"/>
  <c r="W20" i="174"/>
  <c r="AM70" i="25"/>
  <c r="AM96"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R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25" i="25"/>
  <c r="AM100" i="25"/>
  <c r="AM57" i="25"/>
  <c r="AM86" i="25"/>
  <c r="AM89" i="25"/>
  <c r="AM69" i="25"/>
  <c r="AM97" i="25"/>
  <c r="AM61" i="25"/>
  <c r="AM28" i="25"/>
  <c r="AM84" i="25"/>
  <c r="AM98" i="25"/>
  <c r="AM64" i="25"/>
  <c r="AM65" i="25"/>
  <c r="AM104" i="25"/>
  <c r="AM24" i="25"/>
  <c r="AM34" i="25"/>
  <c r="AM94" i="25"/>
  <c r="AM21" i="25"/>
  <c r="AM23" i="25"/>
  <c r="AM103" i="25"/>
  <c r="AM27" i="25"/>
  <c r="AM72" i="25"/>
  <c r="AM83" i="25"/>
  <c r="AM80" i="25"/>
  <c r="AM58" i="25"/>
  <c r="AM99" i="25"/>
  <c r="AM35" i="25"/>
  <c r="AM66" i="25"/>
  <c r="AM20" i="25"/>
  <c r="AM88" i="25"/>
  <c r="AM33" i="25"/>
  <c r="AM59" i="25"/>
  <c r="AM71" i="25"/>
  <c r="AM81" i="25"/>
  <c r="AM87" i="25"/>
  <c r="AM68" i="25"/>
  <c r="AM62" i="25"/>
  <c r="AM60" i="25"/>
  <c r="AM82" i="25"/>
  <c r="AM22" i="25"/>
  <c r="AM85" i="25"/>
  <c r="AM56" i="25"/>
  <c r="AM32" i="25"/>
  <c r="AM95" i="25"/>
  <c r="AM31" i="25"/>
  <c r="AM29" i="25"/>
  <c r="AM79" i="25"/>
  <c r="AM90" i="25"/>
  <c r="AM92" i="25"/>
  <c r="AM101" i="25"/>
  <c r="AM63" i="25"/>
  <c r="AM102" i="25"/>
  <c r="AM26" i="25"/>
  <c r="AM93" i="25"/>
  <c r="AM91" i="25"/>
  <c r="AM67" i="25"/>
  <c r="R19" i="274" l="1"/>
  <c r="Q24" i="276"/>
  <c r="Q25" i="249"/>
  <c r="R13" i="252"/>
  <c r="R24" i="249"/>
  <c r="R18" i="274"/>
  <c r="R15" i="249"/>
  <c r="R18" i="249"/>
  <c r="R14" i="249"/>
  <c r="R20" i="274"/>
  <c r="R17" i="238"/>
  <c r="R17" i="264"/>
  <c r="Q24" i="271"/>
  <c r="Q23" i="271"/>
  <c r="R23" i="249"/>
  <c r="R26" i="249"/>
  <c r="R22" i="249"/>
  <c r="R13" i="251"/>
  <c r="R19" i="249"/>
  <c r="R20" i="249"/>
  <c r="R20" i="263"/>
  <c r="Q24" i="267"/>
  <c r="R16" i="264"/>
  <c r="R15" i="265"/>
  <c r="R17" i="274"/>
  <c r="Q17" i="275"/>
  <c r="Q27" i="276"/>
  <c r="R16" i="265"/>
  <c r="R29" i="277"/>
  <c r="R22" i="263"/>
  <c r="R14" i="265"/>
  <c r="Q31" i="267"/>
  <c r="Q28" i="277"/>
  <c r="R17" i="249"/>
  <c r="R21" i="249"/>
  <c r="R21" i="263"/>
  <c r="Q18" i="267"/>
  <c r="R16" i="249"/>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9" i="25"/>
  <c r="AM10" i="25"/>
  <c r="AM12" i="25"/>
  <c r="AM11"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1" i="25"/>
  <c r="AM150" i="25"/>
  <c r="AM149" i="25"/>
  <c r="R17" i="229" l="1"/>
  <c r="R22" i="230"/>
  <c r="Q17" i="234"/>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1"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R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3" i="189"/>
  <c r="T13" i="189"/>
  <c r="S13" i="189"/>
  <c r="R13" i="189"/>
  <c r="AJ16" i="190"/>
  <c r="T16" i="190"/>
  <c r="S16" i="190"/>
  <c r="R16" i="190"/>
  <c r="AJ14" i="190"/>
  <c r="T14" i="190"/>
  <c r="S14" i="190"/>
  <c r="R14" i="190"/>
  <c r="AJ13" i="190"/>
  <c r="T13" i="190"/>
  <c r="S13" i="190"/>
  <c r="R13" i="190"/>
  <c r="AJ18" i="191"/>
  <c r="T18" i="191"/>
  <c r="S18" i="191"/>
  <c r="R18" i="191"/>
  <c r="AJ14" i="191"/>
  <c r="T14" i="191"/>
  <c r="S14" i="191"/>
  <c r="R14" i="191"/>
  <c r="AJ17" i="191"/>
  <c r="T17" i="191"/>
  <c r="S17" i="191"/>
  <c r="R17"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25" i="25"/>
  <c r="AM124" i="25"/>
  <c r="AM139" i="25"/>
  <c r="AM140" i="25"/>
  <c r="AM128" i="25"/>
  <c r="AM133" i="25"/>
  <c r="AM121" i="25"/>
  <c r="AM131" i="25"/>
  <c r="AM141" i="25"/>
  <c r="AM146" i="25"/>
  <c r="AM134" i="25"/>
  <c r="AM136" i="25"/>
  <c r="AM138" i="25"/>
  <c r="AM126" i="25"/>
  <c r="AM152" i="25"/>
  <c r="AM142" i="25"/>
  <c r="AM143" i="25"/>
  <c r="AM148" i="25"/>
  <c r="AM135" i="25"/>
  <c r="AM145" i="25"/>
  <c r="AM144" i="25"/>
  <c r="AM123" i="25"/>
  <c r="AM130" i="25"/>
  <c r="AM129" i="25"/>
  <c r="AM119" i="25"/>
  <c r="AM132" i="25"/>
  <c r="AM127" i="25"/>
  <c r="AM117" i="25"/>
  <c r="AM115" i="25"/>
  <c r="AM147" i="25"/>
  <c r="AM120" i="25"/>
  <c r="AM118" i="25"/>
  <c r="AM113" i="25"/>
  <c r="AM116" i="25"/>
  <c r="AM122" i="25"/>
  <c r="AM114" i="25"/>
  <c r="AM137" i="25"/>
  <c r="R21" i="205" l="1"/>
  <c r="R18" i="206"/>
  <c r="R20" i="207"/>
  <c r="R18" i="197"/>
  <c r="R20" i="198"/>
  <c r="R17" i="215"/>
  <c r="R18" i="198"/>
  <c r="R18" i="207"/>
  <c r="R20" i="197"/>
  <c r="Q20" i="202"/>
  <c r="Q18" i="203"/>
  <c r="R22" i="205"/>
  <c r="Q18" i="204"/>
  <c r="R21" i="197"/>
  <c r="R20" i="205"/>
  <c r="R20" i="206"/>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43" i="178" l="1"/>
  <c r="W231" i="178"/>
  <c r="W219" i="178"/>
  <c r="W207" i="178"/>
  <c r="W195" i="178"/>
  <c r="W44" i="177"/>
  <c r="W42" i="177"/>
  <c r="W5" i="177"/>
  <c r="W4" i="177"/>
  <c r="W3" i="177"/>
  <c r="C43" i="177"/>
  <c r="W43" i="177" s="1"/>
  <c r="W168" i="176"/>
  <c r="W167" i="176"/>
  <c r="W166" i="176"/>
  <c r="W38" i="176"/>
  <c r="W37" i="176"/>
  <c r="W36" i="176"/>
  <c r="W26" i="176"/>
  <c r="W25" i="176"/>
  <c r="W24" i="176"/>
  <c r="W1140" i="174"/>
  <c r="W1128" i="174"/>
  <c r="W1116" i="174"/>
  <c r="W1104" i="174"/>
  <c r="W1092" i="174"/>
  <c r="W1080"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9" i="25" l="1"/>
  <c r="A159" i="25"/>
  <c r="A106" i="25"/>
  <c r="B161" i="25"/>
  <c r="O161" i="25" s="1"/>
  <c r="B227" i="25"/>
  <c r="A227" i="25"/>
  <c r="B228" i="25"/>
  <c r="B226" i="25"/>
  <c r="O226" i="25" s="1"/>
  <c r="O207" i="25"/>
  <c r="B179" i="25"/>
  <c r="B167" i="25"/>
  <c r="B160" i="25"/>
  <c r="O160" i="25" s="1"/>
  <c r="B153" i="25"/>
  <c r="O153" i="25" s="1"/>
  <c r="B112" i="25"/>
  <c r="B111" i="25"/>
  <c r="B110" i="25"/>
  <c r="B109" i="25"/>
  <c r="B108" i="25"/>
  <c r="AM106" i="25"/>
  <c r="AE227" i="25"/>
  <c r="AM159" i="25"/>
  <c r="AM161" i="25"/>
  <c r="AM227" i="25"/>
  <c r="O227" i="25" l="1"/>
  <c r="BK227" i="25" s="1"/>
  <c r="BK161" i="25"/>
  <c r="O159" i="25"/>
  <c r="BK159" i="25" s="1"/>
  <c r="BK106" i="25"/>
  <c r="G14" i="188"/>
  <c r="Q14" i="188" s="1"/>
  <c r="B14" i="188"/>
  <c r="P14" i="188" s="1"/>
  <c r="G16" i="190"/>
  <c r="Q16" i="190" s="1"/>
  <c r="B16" i="190"/>
  <c r="P16"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R17" i="196"/>
  <c r="Q17" i="196"/>
  <c r="R17" i="193"/>
  <c r="Q17" i="193"/>
  <c r="R17" i="192"/>
  <c r="Q17" i="192"/>
  <c r="R23" i="194"/>
  <c r="Q23" i="194"/>
  <c r="R17" i="195"/>
  <c r="Q17" i="195"/>
  <c r="R22" i="196"/>
  <c r="Q22" i="196"/>
  <c r="R17" i="194"/>
  <c r="Q17" i="194"/>
  <c r="R22" i="195"/>
  <c r="Q22" i="195"/>
  <c r="R23" i="196"/>
  <c r="Q23" i="196"/>
  <c r="G18" i="191"/>
  <c r="Q18" i="191" s="1"/>
  <c r="B18" i="191"/>
  <c r="P18" i="191" s="1"/>
  <c r="G14" i="191"/>
  <c r="Q14" i="191" s="1"/>
  <c r="B14" i="191"/>
  <c r="P14" i="191" s="1"/>
  <c r="G17" i="191"/>
  <c r="Q17" i="191" s="1"/>
  <c r="B17" i="191"/>
  <c r="P17"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R17" i="185" l="1"/>
  <c r="Q17" i="185"/>
  <c r="Q22" i="185"/>
  <c r="R22" i="185"/>
  <c r="R23" i="185"/>
  <c r="Q23" i="185"/>
  <c r="R23" i="187"/>
  <c r="Q23" i="187"/>
  <c r="R17" i="187"/>
  <c r="Q17" i="187"/>
  <c r="R22" i="187"/>
  <c r="Q22" i="187"/>
  <c r="R22" i="186"/>
  <c r="Q22" i="186"/>
  <c r="Q17" i="186"/>
  <c r="R17" i="186"/>
  <c r="R23" i="186"/>
  <c r="Q23" i="186"/>
  <c r="A228" i="25"/>
  <c r="A226" i="25"/>
  <c r="A207" i="25"/>
  <c r="A179" i="25"/>
  <c r="A167" i="25"/>
  <c r="A160" i="25"/>
  <c r="A153" i="25"/>
  <c r="A112" i="25"/>
  <c r="A111" i="25"/>
  <c r="A110" i="25"/>
  <c r="A109" i="25"/>
  <c r="A108" i="25"/>
  <c r="AM228" i="25"/>
  <c r="AM226" i="25"/>
  <c r="AE226" i="25"/>
  <c r="AE228" i="25"/>
  <c r="AM207" i="25"/>
  <c r="BK207" i="25" l="1"/>
  <c r="BK226" i="25"/>
  <c r="BK228"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Q17" i="179" l="1"/>
  <c r="R17" i="179"/>
  <c r="Q23" i="182"/>
  <c r="R23" i="182"/>
  <c r="Q17" i="181"/>
  <c r="R17" i="181"/>
  <c r="R24" i="182"/>
  <c r="Q24" i="182"/>
  <c r="R17" i="182"/>
  <c r="Q17" i="182"/>
  <c r="BK167" i="25"/>
  <c r="BK179" i="25"/>
  <c r="BK160"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11" i="25"/>
  <c r="AM112" i="25"/>
  <c r="AM179" i="25"/>
  <c r="AM107" i="25"/>
  <c r="AM153" i="25"/>
  <c r="AM167" i="25"/>
  <c r="AM160" i="25"/>
  <c r="BK111" i="25" l="1"/>
  <c r="BK108" i="25"/>
  <c r="BK112" i="25"/>
  <c r="R247" i="178"/>
  <c r="R235" i="178"/>
  <c r="R223" i="178"/>
  <c r="R211" i="178"/>
  <c r="R199" i="178"/>
  <c r="AM110" i="25"/>
  <c r="AM108" i="25"/>
  <c r="AM109" i="25"/>
  <c r="C233" i="178" l="1"/>
  <c r="W233" i="178" s="1"/>
  <c r="C232" i="178"/>
  <c r="W232" i="178" s="1"/>
  <c r="C197" i="178"/>
  <c r="W197" i="178" s="1"/>
  <c r="C196" i="178"/>
  <c r="W196" i="178" s="1"/>
  <c r="C209" i="178"/>
  <c r="W209" i="178" s="1"/>
  <c r="C208" i="178"/>
  <c r="W208" i="178" s="1"/>
  <c r="C221" i="178"/>
  <c r="W221" i="178" s="1"/>
  <c r="C220" i="178"/>
  <c r="W220" i="178" s="1"/>
  <c r="C245" i="178"/>
  <c r="W245" i="178" s="1"/>
  <c r="C244" i="178"/>
  <c r="W244" i="178" s="1"/>
  <c r="R1144" i="174"/>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5" i="404" l="1"/>
  <c r="D8" i="404" s="1"/>
  <c r="D4" i="404"/>
  <c r="D6" i="404"/>
  <c r="D6" i="403"/>
  <c r="D4" i="403"/>
  <c r="D5" i="403"/>
  <c r="D8" i="403" s="1"/>
  <c r="AS14" i="403" s="1"/>
  <c r="D6" i="402"/>
  <c r="D5" i="402"/>
  <c r="D8" i="402" s="1"/>
  <c r="AS16" i="402" s="1"/>
  <c r="D4" i="402"/>
  <c r="D5" i="401"/>
  <c r="D8" i="401" s="1"/>
  <c r="D4" i="401"/>
  <c r="D6" i="401"/>
  <c r="D5" i="400"/>
  <c r="D6" i="400"/>
  <c r="D4" i="400"/>
  <c r="D5" i="399"/>
  <c r="D8" i="399" s="1"/>
  <c r="D4" i="399"/>
  <c r="D6" i="399"/>
  <c r="D6" i="398"/>
  <c r="D4" i="398"/>
  <c r="D5" i="398"/>
  <c r="D8" i="398" s="1"/>
  <c r="AS20" i="398" s="1"/>
  <c r="D6" i="397"/>
  <c r="D4" i="397"/>
  <c r="D5" i="397"/>
  <c r="D8" i="397" s="1"/>
  <c r="AS20" i="397" s="1"/>
  <c r="D6" i="396"/>
  <c r="D5" i="396"/>
  <c r="D8" i="396" s="1"/>
  <c r="AS20" i="396" s="1"/>
  <c r="D4" i="396"/>
  <c r="D4" i="395"/>
  <c r="D6" i="395"/>
  <c r="D5" i="395"/>
  <c r="D8" i="395" s="1"/>
  <c r="D6" i="394"/>
  <c r="D5" i="394"/>
  <c r="D8" i="394" s="1"/>
  <c r="D4" i="394"/>
  <c r="D6" i="393"/>
  <c r="D5" i="393"/>
  <c r="D8" i="393" s="1"/>
  <c r="D4" i="393"/>
  <c r="D6" i="392"/>
  <c r="D5" i="392"/>
  <c r="D8" i="392" s="1"/>
  <c r="D4" i="392"/>
  <c r="D6" i="391"/>
  <c r="D5" i="391"/>
  <c r="D8" i="391" s="1"/>
  <c r="D4" i="391"/>
  <c r="D4" i="390"/>
  <c r="D5" i="390"/>
  <c r="D8" i="390" s="1"/>
  <c r="D6" i="390"/>
  <c r="D6" i="389"/>
  <c r="D5" i="389"/>
  <c r="D8" i="389" s="1"/>
  <c r="D4" i="389"/>
  <c r="D4" i="388"/>
  <c r="D5" i="388"/>
  <c r="D8" i="388" s="1"/>
  <c r="D6" i="388"/>
  <c r="D5" i="387"/>
  <c r="D8" i="387" s="1"/>
  <c r="D6" i="387"/>
  <c r="D4" i="387"/>
  <c r="D5" i="386"/>
  <c r="D8" i="386" s="1"/>
  <c r="D4" i="386"/>
  <c r="D6" i="386"/>
  <c r="D4" i="381"/>
  <c r="D6" i="384"/>
  <c r="D6" i="381"/>
  <c r="D4" i="383"/>
  <c r="D5" i="383"/>
  <c r="D8" i="383" s="1"/>
  <c r="D4" i="384"/>
  <c r="D4" i="382"/>
  <c r="D6" i="383"/>
  <c r="D5" i="381"/>
  <c r="D8" i="381" s="1"/>
  <c r="D5" i="384"/>
  <c r="D8" i="384" s="1"/>
  <c r="D5" i="382"/>
  <c r="D8" i="382" s="1"/>
  <c r="D6" i="382"/>
  <c r="D6" i="380"/>
  <c r="D5" i="378"/>
  <c r="D8" i="378" s="1"/>
  <c r="D5" i="380"/>
  <c r="D8" i="380" s="1"/>
  <c r="D4" i="380"/>
  <c r="D6" i="379"/>
  <c r="D6" i="378"/>
  <c r="D4" i="379"/>
  <c r="D5" i="379"/>
  <c r="D8" i="379" s="1"/>
  <c r="AS15" i="379" s="1"/>
  <c r="D4" i="378"/>
  <c r="D5" i="377"/>
  <c r="D8" i="377" s="1"/>
  <c r="D6" i="377"/>
  <c r="D4" i="377"/>
  <c r="D4" i="376"/>
  <c r="D4" i="372"/>
  <c r="D6" i="372"/>
  <c r="D5" i="375"/>
  <c r="D8" i="375" s="1"/>
  <c r="D4" i="374"/>
  <c r="D6" i="376"/>
  <c r="D5" i="374"/>
  <c r="D8" i="374" s="1"/>
  <c r="D5" i="371"/>
  <c r="D8" i="371" s="1"/>
  <c r="D5" i="373"/>
  <c r="D8" i="373" s="1"/>
  <c r="D6" i="371"/>
  <c r="D5" i="376"/>
  <c r="D8" i="376" s="1"/>
  <c r="D5" i="372"/>
  <c r="D8" i="372" s="1"/>
  <c r="D6" i="373"/>
  <c r="D6" i="375"/>
  <c r="D6" i="374"/>
  <c r="D4" i="373"/>
  <c r="D4" i="375"/>
  <c r="D4" i="371"/>
  <c r="D6" i="364"/>
  <c r="D5" i="361"/>
  <c r="D8" i="361" s="1"/>
  <c r="D4" i="361"/>
  <c r="D6" i="361"/>
  <c r="D4" i="360"/>
  <c r="D5" i="360"/>
  <c r="D8" i="360" s="1"/>
  <c r="D5" i="364"/>
  <c r="D8" i="364" s="1"/>
  <c r="D5" i="362"/>
  <c r="D8" i="362" s="1"/>
  <c r="D4" i="362"/>
  <c r="D6" i="362"/>
  <c r="D4" i="364"/>
  <c r="D6" i="360"/>
  <c r="D4" i="363"/>
  <c r="D6" i="363"/>
  <c r="D5" i="363"/>
  <c r="D8" i="363" s="1"/>
  <c r="AS14"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5"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20" i="25"/>
  <c r="AE120" i="25"/>
  <c r="AE41" i="25"/>
  <c r="AE7" i="25"/>
  <c r="AE96" i="25"/>
  <c r="AE178" i="25"/>
  <c r="AE187" i="25"/>
  <c r="AE12" i="25"/>
  <c r="AE175" i="25"/>
  <c r="AE212" i="25"/>
  <c r="AE74" i="25"/>
  <c r="AE76" i="25"/>
  <c r="AE211" i="25"/>
  <c r="AE59" i="25"/>
  <c r="AE65" i="25"/>
  <c r="AE82" i="25"/>
  <c r="AE39" i="25"/>
  <c r="AE123" i="25"/>
  <c r="AE113" i="25"/>
  <c r="AE138" i="25"/>
  <c r="AE29" i="25"/>
  <c r="AE93" i="25"/>
  <c r="AE37" i="25"/>
  <c r="AE49" i="25"/>
  <c r="AE141" i="25"/>
  <c r="AE206" i="25"/>
  <c r="AE184" i="25"/>
  <c r="AE125" i="25"/>
  <c r="AE63" i="25"/>
  <c r="AE161" i="25"/>
  <c r="AE62" i="25"/>
  <c r="AE193" i="25"/>
  <c r="AE68" i="25"/>
  <c r="AE199" i="25"/>
  <c r="AE58" i="25"/>
  <c r="AE147" i="25"/>
  <c r="AE189" i="25"/>
  <c r="AE150" i="25"/>
  <c r="AE77" i="25"/>
  <c r="AE217" i="25"/>
  <c r="AE157" i="25"/>
  <c r="AE116" i="25"/>
  <c r="AE191" i="25"/>
  <c r="AE130" i="25"/>
  <c r="AE213" i="25"/>
  <c r="AE35" i="25"/>
  <c r="AE124" i="25"/>
  <c r="AE179" i="25"/>
  <c r="AE158" i="25"/>
  <c r="AE210" i="25"/>
  <c r="AE72" i="25"/>
  <c r="AE47" i="25"/>
  <c r="AE223" i="25"/>
  <c r="AE131" i="25"/>
  <c r="AE205" i="25"/>
  <c r="AE134" i="25"/>
  <c r="AE44" i="25"/>
  <c r="AE208" i="25"/>
  <c r="AE60" i="25"/>
  <c r="AE114" i="25"/>
  <c r="AE139" i="25"/>
  <c r="AE136" i="25"/>
  <c r="AE198" i="25"/>
  <c r="AE73" i="25"/>
  <c r="AE67" i="25"/>
  <c r="AE70" i="25"/>
  <c r="AE61" i="25"/>
  <c r="AE119" i="25"/>
  <c r="AE54" i="25"/>
  <c r="AE190" i="25"/>
  <c r="AE19" i="25"/>
  <c r="AE75" i="25"/>
  <c r="AE55" i="25"/>
  <c r="AE174" i="25"/>
  <c r="AE40" i="25"/>
  <c r="AE22" i="25"/>
  <c r="AE209" i="25"/>
  <c r="AE90" i="25"/>
  <c r="AE99" i="25"/>
  <c r="AE15" i="25"/>
  <c r="AE185" i="25"/>
  <c r="AE181" i="25"/>
  <c r="AE51" i="25"/>
  <c r="AE103" i="25"/>
  <c r="AE69" i="25"/>
  <c r="AE180" i="25"/>
  <c r="AE45" i="25"/>
  <c r="AE148" i="25"/>
  <c r="AE92" i="25"/>
  <c r="AE104" i="25"/>
  <c r="AE107" i="25"/>
  <c r="AE142" i="25"/>
  <c r="AE222" i="25"/>
  <c r="AE146" i="25"/>
  <c r="AE197" i="25"/>
  <c r="AE216" i="25"/>
  <c r="AE10" i="25"/>
  <c r="AE207" i="25"/>
  <c r="AE89" i="25"/>
  <c r="AE98" i="25"/>
  <c r="AE133" i="25"/>
  <c r="AE143" i="25"/>
  <c r="AE27" i="25"/>
  <c r="AE221" i="25"/>
  <c r="AE94" i="25"/>
  <c r="AE38" i="25"/>
  <c r="AE17" i="25"/>
  <c r="AE8" i="25"/>
  <c r="AE202" i="25"/>
  <c r="AE97" i="25"/>
  <c r="AE195" i="25"/>
  <c r="AE118" i="25"/>
  <c r="AE64" i="25"/>
  <c r="AE71" i="25"/>
  <c r="AE78" i="25"/>
  <c r="AE170" i="25"/>
  <c r="AE14" i="25"/>
  <c r="AE155" i="25"/>
  <c r="AE33" i="25"/>
  <c r="AE56" i="25"/>
  <c r="AE215" i="25"/>
  <c r="AE36" i="25"/>
  <c r="AE79" i="25"/>
  <c r="AE127" i="25"/>
  <c r="AE28" i="25"/>
  <c r="AE173" i="25"/>
  <c r="AE149" i="25"/>
  <c r="AE126" i="25"/>
  <c r="AE52" i="25"/>
  <c r="AE128" i="25"/>
  <c r="AE200" i="25"/>
  <c r="AE129" i="25"/>
  <c r="AE169" i="25"/>
  <c r="AE145" i="25"/>
  <c r="AE182" i="25"/>
  <c r="AE176" i="25"/>
  <c r="AE121" i="25"/>
  <c r="AE81" i="25"/>
  <c r="AE165" i="25"/>
  <c r="AE168" i="25"/>
  <c r="AE201" i="25"/>
  <c r="AE183" i="25"/>
  <c r="AE18" i="25"/>
  <c r="AE160" i="25"/>
  <c r="AE218" i="25"/>
  <c r="AE117" i="25"/>
  <c r="AE43" i="25"/>
  <c r="AE192" i="25"/>
  <c r="AE6" i="25"/>
  <c r="AE219" i="25"/>
  <c r="AE85" i="25"/>
  <c r="AE100" i="25"/>
  <c r="AE87" i="25"/>
  <c r="AE115" i="25"/>
  <c r="AE177" i="25"/>
  <c r="AE151" i="25"/>
  <c r="AE23" i="25"/>
  <c r="AE53" i="25"/>
  <c r="AE9" i="25"/>
  <c r="AE111" i="25"/>
  <c r="AE196" i="25"/>
  <c r="AE48" i="25"/>
  <c r="AE24" i="25"/>
  <c r="AE188" i="25"/>
  <c r="AE186" i="25"/>
  <c r="AE172" i="25"/>
  <c r="AE88" i="25"/>
  <c r="AE204" i="25"/>
  <c r="AE159" i="25"/>
  <c r="AE11" i="25"/>
  <c r="AE214" i="25"/>
  <c r="AE153" i="25"/>
  <c r="AE162" i="25"/>
  <c r="AE152" i="25"/>
  <c r="AE203" i="25"/>
  <c r="AE46" i="25"/>
  <c r="AE13" i="25"/>
  <c r="AE112" i="25"/>
  <c r="AE95" i="25"/>
  <c r="AE86" i="25"/>
  <c r="AE102" i="25"/>
  <c r="AE220" i="25"/>
  <c r="AE101" i="25"/>
  <c r="AE16" i="25"/>
  <c r="AE21" i="25"/>
  <c r="AE135" i="25"/>
  <c r="AE194" i="25"/>
  <c r="AE83" i="25"/>
  <c r="AE84" i="25"/>
  <c r="AE66" i="25"/>
  <c r="AE171" i="25"/>
  <c r="AE42" i="25"/>
  <c r="AE57" i="25"/>
  <c r="AE132" i="25"/>
  <c r="AE50" i="25"/>
  <c r="AE137" i="25"/>
  <c r="AE26" i="25"/>
  <c r="AE25" i="25"/>
  <c r="AE31" i="25"/>
  <c r="AE144" i="25"/>
  <c r="AE164" i="25"/>
  <c r="AE167" i="25"/>
  <c r="AE140" i="25"/>
  <c r="AE91" i="25"/>
  <c r="AE80" i="25"/>
  <c r="AE166" i="25"/>
  <c r="AE163" i="25"/>
  <c r="AE106" i="25"/>
  <c r="AE34" i="25"/>
  <c r="AE122" i="25"/>
  <c r="AE32" i="25"/>
  <c r="AS20" i="387" l="1"/>
  <c r="AS19" i="387"/>
  <c r="AS15" i="404"/>
  <c r="N11" i="404"/>
  <c r="AS10" i="404"/>
  <c r="AJ10" i="404"/>
  <c r="N10" i="404"/>
  <c r="AJ11" i="404"/>
  <c r="AS13" i="404"/>
  <c r="AS12" i="404"/>
  <c r="AS14" i="404"/>
  <c r="AS21" i="380"/>
  <c r="AS13" i="380"/>
  <c r="AS19" i="380"/>
  <c r="AS18" i="380"/>
  <c r="AS17" i="380"/>
  <c r="AS16" i="380"/>
  <c r="AS15" i="380"/>
  <c r="AS14" i="380"/>
  <c r="AS20" i="380"/>
  <c r="AS13" i="191"/>
  <c r="AS15" i="191"/>
  <c r="AS16" i="191"/>
  <c r="AS16" i="401"/>
  <c r="AS15" i="401"/>
  <c r="AS18" i="403"/>
  <c r="AJ11" i="403"/>
  <c r="N11" i="403"/>
  <c r="AS10" i="403"/>
  <c r="AS17" i="403"/>
  <c r="AJ10" i="403"/>
  <c r="AS16" i="403"/>
  <c r="N10" i="403"/>
  <c r="AS15" i="403"/>
  <c r="AS13" i="403"/>
  <c r="AS12" i="403"/>
  <c r="AS14" i="402"/>
  <c r="AS17" i="402"/>
  <c r="AS15" i="402"/>
  <c r="AS19" i="402"/>
  <c r="AJ10" i="402"/>
  <c r="AS18" i="402"/>
  <c r="N10" i="402"/>
  <c r="AS10" i="402"/>
  <c r="AS13" i="402"/>
  <c r="AS12" i="402"/>
  <c r="AJ11" i="402"/>
  <c r="N11" i="402"/>
  <c r="D8" i="400"/>
  <c r="AS17" i="401"/>
  <c r="AS12" i="401"/>
  <c r="AJ11" i="401"/>
  <c r="N11" i="401"/>
  <c r="AJ10" i="401"/>
  <c r="AS10" i="401"/>
  <c r="AS14" i="401"/>
  <c r="N10" i="401"/>
  <c r="AS13" i="401"/>
  <c r="AS20" i="399"/>
  <c r="AS19" i="399"/>
  <c r="AS25" i="399"/>
  <c r="AS24" i="399"/>
  <c r="AS23" i="399"/>
  <c r="AS22" i="399"/>
  <c r="AS21" i="399"/>
  <c r="AS28" i="399"/>
  <c r="AS12" i="399"/>
  <c r="AS27" i="399"/>
  <c r="AJ11" i="399"/>
  <c r="AS26" i="399"/>
  <c r="AS18" i="399"/>
  <c r="N11" i="399"/>
  <c r="AS17" i="399"/>
  <c r="AS10" i="399"/>
  <c r="AS16" i="399"/>
  <c r="AJ10" i="399"/>
  <c r="N10" i="399"/>
  <c r="AS15" i="399"/>
  <c r="AS14" i="399"/>
  <c r="AS13" i="399"/>
  <c r="AS22" i="398"/>
  <c r="AS13" i="398"/>
  <c r="AS21" i="398"/>
  <c r="AS12" i="398"/>
  <c r="AS19" i="398"/>
  <c r="AJ11" i="398"/>
  <c r="AJ10" i="398"/>
  <c r="AS18" i="398"/>
  <c r="N11" i="398"/>
  <c r="AS17" i="398"/>
  <c r="AS10" i="398"/>
  <c r="AS16" i="398"/>
  <c r="AS15" i="398"/>
  <c r="N10" i="398"/>
  <c r="AS14" i="398"/>
  <c r="AS22" i="397"/>
  <c r="AS13" i="397"/>
  <c r="AS21" i="397"/>
  <c r="AS12" i="397"/>
  <c r="AS19" i="397"/>
  <c r="AJ11" i="397"/>
  <c r="AS18" i="397"/>
  <c r="N11" i="397"/>
  <c r="AS17" i="397"/>
  <c r="AS10" i="397"/>
  <c r="AS16" i="397"/>
  <c r="AJ10" i="397"/>
  <c r="AS15" i="397"/>
  <c r="N10" i="397"/>
  <c r="AS14" i="397"/>
  <c r="AS19" i="396"/>
  <c r="AS18" i="396"/>
  <c r="AS17" i="396"/>
  <c r="AS16" i="396"/>
  <c r="AS15" i="396"/>
  <c r="AS14" i="396"/>
  <c r="AS22" i="396"/>
  <c r="N10" i="396"/>
  <c r="AS21" i="396"/>
  <c r="AS13" i="396"/>
  <c r="AS12" i="396"/>
  <c r="AJ10" i="396"/>
  <c r="AJ11" i="396"/>
  <c r="N11" i="396"/>
  <c r="AS10" i="396"/>
  <c r="AS15" i="395"/>
  <c r="N11" i="395"/>
  <c r="AS10" i="395"/>
  <c r="AJ10" i="395"/>
  <c r="AJ11" i="395"/>
  <c r="N10" i="395"/>
  <c r="AS14" i="395"/>
  <c r="AS13" i="395"/>
  <c r="AS12" i="395"/>
  <c r="AS16" i="394"/>
  <c r="AS14" i="394"/>
  <c r="AS15" i="394"/>
  <c r="AS18" i="394"/>
  <c r="N10" i="394"/>
  <c r="AS17" i="394"/>
  <c r="AJ10" i="394"/>
  <c r="AS13" i="394"/>
  <c r="AS12" i="394"/>
  <c r="AJ11" i="394"/>
  <c r="N11" i="394"/>
  <c r="AS10" i="394"/>
  <c r="AS14" i="393"/>
  <c r="AS13" i="393"/>
  <c r="AJ11" i="393"/>
  <c r="AS12" i="393"/>
  <c r="N10" i="393"/>
  <c r="N11" i="393"/>
  <c r="AS10" i="393"/>
  <c r="AJ10" i="393"/>
  <c r="AS14" i="392"/>
  <c r="AS13" i="392"/>
  <c r="AS12" i="392"/>
  <c r="N10" i="392"/>
  <c r="AJ11" i="392"/>
  <c r="N11" i="392"/>
  <c r="AJ10" i="392"/>
  <c r="AS10" i="392"/>
  <c r="AS14" i="391"/>
  <c r="N10" i="391"/>
  <c r="AS13" i="391"/>
  <c r="AS12" i="391"/>
  <c r="AJ11" i="391"/>
  <c r="N11" i="391"/>
  <c r="AS10" i="391"/>
  <c r="AJ10" i="391"/>
  <c r="AS15" i="390"/>
  <c r="N10" i="390"/>
  <c r="AS14" i="390"/>
  <c r="AS13" i="390"/>
  <c r="AS12" i="390"/>
  <c r="AJ11" i="390"/>
  <c r="N11" i="390"/>
  <c r="AS10" i="390"/>
  <c r="AJ10" i="390"/>
  <c r="AS15" i="389"/>
  <c r="N10" i="389"/>
  <c r="AS14" i="389"/>
  <c r="AS13" i="389"/>
  <c r="AS12" i="389"/>
  <c r="AJ11" i="389"/>
  <c r="N11" i="389"/>
  <c r="AS10" i="389"/>
  <c r="AJ10" i="389"/>
  <c r="AS15" i="388"/>
  <c r="AJ11" i="388"/>
  <c r="AS12" i="388"/>
  <c r="N11" i="388"/>
  <c r="AS10" i="388"/>
  <c r="AJ10" i="388"/>
  <c r="N10" i="388"/>
  <c r="AS14" i="388"/>
  <c r="AS13" i="388"/>
  <c r="AS17" i="387"/>
  <c r="AS16" i="387"/>
  <c r="AS15" i="387"/>
  <c r="AS21" i="387"/>
  <c r="AJ10" i="387"/>
  <c r="AS18" i="387"/>
  <c r="N10" i="387"/>
  <c r="AS14" i="387"/>
  <c r="AS12" i="387"/>
  <c r="AS13" i="387"/>
  <c r="N11" i="387"/>
  <c r="AS10" i="387"/>
  <c r="AJ11" i="387"/>
  <c r="AS16" i="386"/>
  <c r="N11" i="386"/>
  <c r="AS10" i="386"/>
  <c r="AS15" i="386"/>
  <c r="N10" i="386"/>
  <c r="AJ11" i="386"/>
  <c r="AJ10" i="386"/>
  <c r="AS14" i="386"/>
  <c r="AS13" i="386"/>
  <c r="AS12" i="386"/>
  <c r="AS33" i="383"/>
  <c r="AS27" i="383"/>
  <c r="AS23" i="383"/>
  <c r="AJ10" i="383"/>
  <c r="AS21" i="383"/>
  <c r="AS22" i="383"/>
  <c r="AS14" i="383"/>
  <c r="AS25" i="383"/>
  <c r="AS32" i="383"/>
  <c r="AS15" i="383"/>
  <c r="AS17" i="383"/>
  <c r="N10" i="383"/>
  <c r="AS19" i="383"/>
  <c r="AS18" i="383"/>
  <c r="N11" i="383"/>
  <c r="AS31" i="383"/>
  <c r="AS24" i="383"/>
  <c r="AS28" i="383"/>
  <c r="AS20" i="383"/>
  <c r="AS10" i="383"/>
  <c r="AS16" i="383"/>
  <c r="AS13" i="383"/>
  <c r="AS29" i="383"/>
  <c r="AS12" i="383"/>
  <c r="AS26" i="383"/>
  <c r="AS30" i="383"/>
  <c r="AJ11" i="383"/>
  <c r="AS10" i="382"/>
  <c r="AS15" i="382"/>
  <c r="AS20" i="382"/>
  <c r="AS25" i="382"/>
  <c r="AS19" i="382"/>
  <c r="AS23" i="382"/>
  <c r="AJ11" i="382"/>
  <c r="N10" i="382"/>
  <c r="AS18" i="382"/>
  <c r="AS24" i="382"/>
  <c r="AS21" i="382"/>
  <c r="AS12" i="382"/>
  <c r="AS17" i="382"/>
  <c r="AS14" i="382"/>
  <c r="N11" i="382"/>
  <c r="AS16" i="382"/>
  <c r="AS22" i="382"/>
  <c r="AJ10" i="382"/>
  <c r="AS13" i="382"/>
  <c r="AS17" i="384"/>
  <c r="AS25" i="384"/>
  <c r="N11" i="384"/>
  <c r="AS12" i="384"/>
  <c r="AJ10" i="384"/>
  <c r="AS14" i="384"/>
  <c r="AS10" i="384"/>
  <c r="AS21" i="384"/>
  <c r="AS24" i="384"/>
  <c r="N10" i="384"/>
  <c r="AS16" i="384"/>
  <c r="AS26" i="384"/>
  <c r="AS18" i="384"/>
  <c r="AS15" i="384"/>
  <c r="AJ11" i="384"/>
  <c r="AS23" i="384"/>
  <c r="AS19" i="384"/>
  <c r="AS22" i="384"/>
  <c r="AS20" i="384"/>
  <c r="AS13" i="384"/>
  <c r="AS25" i="381"/>
  <c r="AS13" i="381"/>
  <c r="AS22" i="381"/>
  <c r="AS26" i="381"/>
  <c r="AS24" i="381"/>
  <c r="AS20" i="381"/>
  <c r="AS16" i="381"/>
  <c r="AJ11" i="381"/>
  <c r="AS17" i="381"/>
  <c r="AS12" i="381"/>
  <c r="AS14" i="381"/>
  <c r="AS18" i="381"/>
  <c r="AS31" i="381"/>
  <c r="AS29" i="381"/>
  <c r="N11" i="381"/>
  <c r="AS19" i="381"/>
  <c r="AS30" i="381"/>
  <c r="AS10" i="381"/>
  <c r="AJ10" i="381"/>
  <c r="AS27" i="381"/>
  <c r="AS23" i="381"/>
  <c r="AS21" i="381"/>
  <c r="AS15" i="381"/>
  <c r="AS28" i="381"/>
  <c r="N10" i="381"/>
  <c r="AS32" i="381"/>
  <c r="AS22" i="379"/>
  <c r="AS16" i="379"/>
  <c r="AS18" i="379"/>
  <c r="N10" i="379"/>
  <c r="AS21" i="379"/>
  <c r="AS10" i="379"/>
  <c r="AS17" i="379"/>
  <c r="AS12" i="379"/>
  <c r="AS13" i="379"/>
  <c r="AS14" i="379"/>
  <c r="AS20" i="379"/>
  <c r="N11" i="379"/>
  <c r="AJ10" i="379"/>
  <c r="AS19" i="379"/>
  <c r="AJ11" i="379"/>
  <c r="N11" i="380"/>
  <c r="AS10" i="380"/>
  <c r="N10" i="380"/>
  <c r="AJ10" i="380"/>
  <c r="AJ11" i="380"/>
  <c r="AS12" i="380"/>
  <c r="AS12" i="378"/>
  <c r="AS16" i="378"/>
  <c r="AS10" i="378"/>
  <c r="AS14" i="378"/>
  <c r="AJ11" i="378"/>
  <c r="N11" i="378"/>
  <c r="AJ10" i="378"/>
  <c r="AS13" i="378"/>
  <c r="AS17" i="378"/>
  <c r="N10" i="378"/>
  <c r="AS15" i="378"/>
  <c r="AS20" i="377"/>
  <c r="N11" i="377"/>
  <c r="AS10" i="377"/>
  <c r="AJ11" i="377"/>
  <c r="AS12" i="377"/>
  <c r="AJ10" i="377"/>
  <c r="AS21" i="377"/>
  <c r="AS13" i="377"/>
  <c r="AS17" i="377"/>
  <c r="AS18" i="377"/>
  <c r="AS19" i="377"/>
  <c r="N10" i="377"/>
  <c r="AS16" i="377"/>
  <c r="AS15" i="377"/>
  <c r="AS14" i="377"/>
  <c r="AS17" i="360"/>
  <c r="AS19" i="358"/>
  <c r="AS18" i="358"/>
  <c r="AS30" i="371"/>
  <c r="AS39" i="371"/>
  <c r="AS43" i="371"/>
  <c r="AS26" i="371"/>
  <c r="AS10" i="371"/>
  <c r="AS31" i="371"/>
  <c r="AS35" i="371"/>
  <c r="AS18" i="371"/>
  <c r="AS40" i="371"/>
  <c r="AS14" i="371"/>
  <c r="AS27" i="371"/>
  <c r="AS32" i="371"/>
  <c r="AS44" i="371"/>
  <c r="AS24" i="371"/>
  <c r="AS23" i="371"/>
  <c r="AS20" i="371"/>
  <c r="AS38" i="371"/>
  <c r="AS22" i="371"/>
  <c r="AS15" i="371"/>
  <c r="N11" i="371"/>
  <c r="AS45" i="371"/>
  <c r="N10" i="371"/>
  <c r="AS36" i="371"/>
  <c r="AS41" i="371"/>
  <c r="AS28" i="371"/>
  <c r="AJ10" i="371"/>
  <c r="AS42" i="371"/>
  <c r="AS12" i="371"/>
  <c r="AS33" i="371"/>
  <c r="AS21" i="371"/>
  <c r="AS25" i="371"/>
  <c r="AS34" i="371"/>
  <c r="AS19" i="371"/>
  <c r="AS37" i="371"/>
  <c r="AJ11" i="371"/>
  <c r="AS16" i="371"/>
  <c r="AS29" i="371"/>
  <c r="AS46" i="371"/>
  <c r="AS13" i="371"/>
  <c r="AS17" i="371"/>
  <c r="AS16" i="374"/>
  <c r="AS20" i="374"/>
  <c r="AS22" i="374"/>
  <c r="AS12" i="374"/>
  <c r="AS14" i="374"/>
  <c r="AS23" i="374"/>
  <c r="AS18" i="374"/>
  <c r="AS17" i="374"/>
  <c r="AS19" i="374"/>
  <c r="AJ11" i="374"/>
  <c r="AS21" i="374"/>
  <c r="AS15" i="374"/>
  <c r="N10" i="374"/>
  <c r="AS10" i="374"/>
  <c r="AJ10" i="374"/>
  <c r="AS13" i="374"/>
  <c r="N11" i="374"/>
  <c r="AS21" i="372"/>
  <c r="N10" i="372"/>
  <c r="AS13" i="372"/>
  <c r="AS18" i="372"/>
  <c r="AS16" i="372"/>
  <c r="N11" i="372"/>
  <c r="AS17" i="372"/>
  <c r="AS10" i="372"/>
  <c r="AS12" i="372"/>
  <c r="AS15" i="372"/>
  <c r="AJ11" i="372"/>
  <c r="AS22" i="372"/>
  <c r="AS14" i="372"/>
  <c r="AS20" i="372"/>
  <c r="AS19" i="372"/>
  <c r="AJ10" i="372"/>
  <c r="AS34" i="375"/>
  <c r="AS31" i="375"/>
  <c r="AS37" i="375"/>
  <c r="AS35" i="375"/>
  <c r="N11" i="375"/>
  <c r="AS23" i="375"/>
  <c r="AS29" i="375"/>
  <c r="AS27" i="375"/>
  <c r="AS41" i="375"/>
  <c r="AS40" i="375"/>
  <c r="AS19" i="375"/>
  <c r="N10" i="375"/>
  <c r="AJ11" i="375"/>
  <c r="AS25" i="375"/>
  <c r="AS38" i="375"/>
  <c r="AS18" i="375"/>
  <c r="AS17" i="375"/>
  <c r="AS30" i="375"/>
  <c r="AS20" i="375"/>
  <c r="AS39" i="375"/>
  <c r="AS15" i="375"/>
  <c r="AS33" i="375"/>
  <c r="AS32" i="375"/>
  <c r="AS13" i="375"/>
  <c r="AS16" i="375"/>
  <c r="AS36" i="375"/>
  <c r="AS28" i="375"/>
  <c r="AS26" i="375"/>
  <c r="AS21" i="375"/>
  <c r="AS22" i="375"/>
  <c r="AS12" i="375"/>
  <c r="AJ10" i="375"/>
  <c r="AS10" i="375"/>
  <c r="AS24" i="375"/>
  <c r="AS14" i="375"/>
  <c r="AS24" i="376"/>
  <c r="AS22" i="376"/>
  <c r="AS18" i="376"/>
  <c r="AS16" i="376"/>
  <c r="AS10" i="376"/>
  <c r="AJ10" i="376"/>
  <c r="AS21" i="376"/>
  <c r="AS13" i="376"/>
  <c r="AS20" i="376"/>
  <c r="AS19" i="376"/>
  <c r="AS14" i="376"/>
  <c r="AS15" i="376"/>
  <c r="AS12" i="376"/>
  <c r="AJ11" i="376"/>
  <c r="N10" i="376"/>
  <c r="AS23" i="376"/>
  <c r="N11" i="376"/>
  <c r="AS17" i="376"/>
  <c r="AS19" i="373"/>
  <c r="AS10" i="373"/>
  <c r="AJ11" i="373"/>
  <c r="AS16" i="373"/>
  <c r="AS20" i="373"/>
  <c r="AJ10" i="373"/>
  <c r="AS12" i="373"/>
  <c r="AS14" i="373"/>
  <c r="AS21" i="373"/>
  <c r="AS17" i="373"/>
  <c r="AS15" i="373"/>
  <c r="N10" i="373"/>
  <c r="AS22" i="373"/>
  <c r="AS18" i="373"/>
  <c r="N11" i="373"/>
  <c r="AS13" i="373"/>
  <c r="AS10" i="363"/>
  <c r="AJ11" i="363"/>
  <c r="AS15" i="363"/>
  <c r="AS19" i="363"/>
  <c r="AS21" i="363"/>
  <c r="AS13" i="363"/>
  <c r="AS17" i="363"/>
  <c r="AS12" i="363"/>
  <c r="AS20" i="363"/>
  <c r="AS16" i="363"/>
  <c r="N10" i="363"/>
  <c r="AJ10" i="363"/>
  <c r="N11" i="363"/>
  <c r="AS18" i="363"/>
  <c r="AS17" i="364"/>
  <c r="AS14" i="364"/>
  <c r="N11" i="364"/>
  <c r="AS13" i="364"/>
  <c r="AJ11" i="364"/>
  <c r="AS16" i="364"/>
  <c r="AS12" i="364"/>
  <c r="N10" i="364"/>
  <c r="AS10" i="364"/>
  <c r="AS15" i="364"/>
  <c r="AJ10" i="364"/>
  <c r="AS20" i="360"/>
  <c r="AS21" i="360"/>
  <c r="AJ10" i="360"/>
  <c r="AS10" i="360"/>
  <c r="AS18" i="360"/>
  <c r="N10" i="360"/>
  <c r="AS16" i="360"/>
  <c r="AS12" i="360"/>
  <c r="AS19" i="360"/>
  <c r="AS15" i="360"/>
  <c r="AS14" i="360"/>
  <c r="AS13" i="360"/>
  <c r="AJ11" i="360"/>
  <c r="N11" i="360"/>
  <c r="AS15" i="361"/>
  <c r="N10" i="361"/>
  <c r="AS14" i="361"/>
  <c r="AS13" i="361"/>
  <c r="AS12" i="361"/>
  <c r="AJ11" i="361"/>
  <c r="AS16" i="361"/>
  <c r="N11" i="361"/>
  <c r="AJ10" i="361"/>
  <c r="AS10" i="361"/>
  <c r="D8" i="189"/>
  <c r="AS14" i="189" s="1"/>
  <c r="AS16" i="358"/>
  <c r="AS15" i="358"/>
  <c r="AS14" i="358"/>
  <c r="AS17" i="358"/>
  <c r="AS13" i="358"/>
  <c r="AS20"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3" i="190"/>
  <c r="AS10" i="190"/>
  <c r="AS16" i="190"/>
  <c r="AJ10" i="190"/>
  <c r="N10" i="190"/>
  <c r="AJ11" i="190"/>
  <c r="AS14" i="190"/>
  <c r="AS12" i="190"/>
  <c r="N11" i="190"/>
  <c r="AJ11" i="191"/>
  <c r="AS12" i="191"/>
  <c r="N11" i="191"/>
  <c r="AS17" i="191"/>
  <c r="AS10" i="191"/>
  <c r="AS18" i="191"/>
  <c r="AJ10"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24" i="25"/>
  <c r="AE225" i="25"/>
  <c r="AE154" i="25"/>
  <c r="AE156" i="25"/>
  <c r="AS21" i="400" l="1"/>
  <c r="AS29" i="400"/>
  <c r="AS16" i="400"/>
  <c r="AS17" i="400"/>
  <c r="AS25" i="400"/>
  <c r="AS10" i="400"/>
  <c r="N11" i="400"/>
  <c r="AS13" i="400"/>
  <c r="AJ11" i="400"/>
  <c r="AS22" i="400"/>
  <c r="AS20" i="400"/>
  <c r="AS15" i="400"/>
  <c r="AS28" i="400"/>
  <c r="AJ10" i="400"/>
  <c r="AS27" i="400"/>
  <c r="AS23" i="400"/>
  <c r="AS18" i="400"/>
  <c r="AS12" i="400"/>
  <c r="N10" i="400"/>
  <c r="AS26" i="400"/>
  <c r="AS24" i="400"/>
  <c r="AS19" i="400"/>
  <c r="AS14" i="400"/>
  <c r="AJ11" i="189"/>
  <c r="AS12" i="189"/>
  <c r="N10" i="189"/>
  <c r="AJ10" i="189"/>
  <c r="AS10" i="189"/>
  <c r="AS13" i="189"/>
  <c r="N11" i="189"/>
  <c r="AS13" i="362"/>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08"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<sst xmlns="http://schemas.openxmlformats.org/spreadsheetml/2006/main" count="24200" uniqueCount="4310">
  <si>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</si>
  <si>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</si>
  <si>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</si>
  <si>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</si>
  <si>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</si>
  <si>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</si>
  <si>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</si>
  <si>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</si>
  <si>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</si>
  <si>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</si>
  <si>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</si>
  <si>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</si>
  <si>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</si>
  <si>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</si>
  <si>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</si>
  <si>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</si>
  <si>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</si>
  <si>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</si>
  <si>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</si>
  <si>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</si>
  <si>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</si>
  <si>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</si>
  <si>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</si>
  <si>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</si>
  <si>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</si>
  <si>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</si>
  <si>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</si>
  <si>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</si>
  <si>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</si>
  <si>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</si>
  <si>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</si>
  <si>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</si>
  <si>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</si>
  <si>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</si>
  <si>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</si>
  <si>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</si>
  <si>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</si>
  <si>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</si>
  <si>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</si>
  <si>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</si>
  <si>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</si>
  <si>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</si>
  <si>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</si>
  <si>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</si>
  <si>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</si>
  <si>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</si>
  <si>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</si>
  <si>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</si>
  <si>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</si>
  <si>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</si>
  <si>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</si>
  <si>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</si>
  <si>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</si>
  <si>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</si>
  <si>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</si>
  <si>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</si>
  <si>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</si>
  <si>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</si>
  <si>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</si>
  <si>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</si>
  <si>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</si>
  <si>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</si>
  <si>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</si>
  <si>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</si>
  <si>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</si>
  <si>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</si>
  <si>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</si>
  <si>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</si>
  <si>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</si>
  <si>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</si>
  <si>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</si>
  <si>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</si>
  <si>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</si>
  <si>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</si>
  <si>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</si>
  <si>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</si>
  <si>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</si>
  <si>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</si>
  <si>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</si>
  <si>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</si>
  <si>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</si>
  <si>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</si>
  <si>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</si>
  <si>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</si>
  <si>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</si>
  <si>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</si>
  <si>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</si>
  <si>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</si>
  <si>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</si>
  <si>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</si>
  <si>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</si>
  <si>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</si>
  <si>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</si>
  <si>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</si>
  <si>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</si>
  <si>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</si>
  <si>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</si>
  <si>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</si>
  <si>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</si>
  <si>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</si>
  <si>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</si>
  <si>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</si>
  <si>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</si>
  <si>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</si>
  <si>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</si>
  <si>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</si>
  <si>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</si>
  <si>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</si>
  <si>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</si>
  <si>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</si>
  <si>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</si>
  <si>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</si>
  <si>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</si>
  <si>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</si>
  <si>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</si>
  <si>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</si>
  <si>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</si>
  <si>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</si>
  <si>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</si>
  <si>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</si>
  <si>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</si>
  <si>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</si>
  <si>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</si>
  <si>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</si>
  <si>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</si>
  <si>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</si>
  <si>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</si>
  <si>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</si>
  <si>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</si>
  <si>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</si>
  <si>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</si>
  <si>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</si>
  <si>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</si>
  <si>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</si>
  <si>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</si>
  <si>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</si>
  <si>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</si>
  <si>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</si>
  <si>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</si>
  <si>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</si>
  <si>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</si>
  <si>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</si>
  <si>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</si>
  <si>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</si>
  <si>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</si>
  <si>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</si>
  <si>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</si>
  <si>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</si>
  <si>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</si>
  <si>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</si>
  <si>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</si>
  <si>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</si>
  <si>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</si>
  <si>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</si>
  <si>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</si>
  <si>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</si>
  <si>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</si>
  <si>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</si>
  <si>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</si>
  <si>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</si>
  <si>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</si>
  <si>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</si>
  <si>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</si>
  <si>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</si>
  <si>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</si>
  <si>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</si>
  <si>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</si>
  <si>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</si>
  <si>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</si>
  <si>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</si>
  <si>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</si>
  <si>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</si>
  <si>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</si>
  <si>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</si>
  <si>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</si>
  <si>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</si>
  <si>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</si>
  <si>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</si>
  <si>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</si>
  <si>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</si>
  <si>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</si>
  <si>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</si>
  <si>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</si>
  <si>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</si>
  <si>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</si>
  <si>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</si>
  <si>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</si>
  <si>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</si>
  <si>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</si>
  <si>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</si>
  <si>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</si>
  <si>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</si>
  <si>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</si>
  <si>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</si>
  <si>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</si>
  <si>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</si>
  <si>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</si>
  <si>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</si>
  <si>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</si>
  <si>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</si>
  <si>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</si>
  <si>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</si>
  <si>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</si>
  <si>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</si>
  <si>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</si>
  <si>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</si>
  <si>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</si>
  <si>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</si>
  <si>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</si>
  <si>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</si>
  <si>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</si>
  <si>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</si>
  <si>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</si>
  <si>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</si>
  <si>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</si>
  <si>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</si>
  <si>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</si>
  <si>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</si>
  <si>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</si>
  <si>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</si>
  <si>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</si>
  <si>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</si>
  <si>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</si>
  <si>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</si>
  <si>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</si>
  <si>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</si>
  <si>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</si>
  <si>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</si>
  <si>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</si>
  <si>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</si>
  <si>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</si>
  <si>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</si>
  <si>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</si>
  <si>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</si>
  <si>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</si>
  <si>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</si>
  <si>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</si>
  <si>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</si>
  <si>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</si>
  <si>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</si>
  <si>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</si>
  <si>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</si>
  <si>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</si>
  <si>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</si>
  <si>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</si>
  <si>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</si>
  <si>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</si>
  <si>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</si>
  <si>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</si>
  <si>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</si>
  <si>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</si>
  <si>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</si>
  <si>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</si>
  <si>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</si>
  <si>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</si>
  <si>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</si>
  <si>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</si>
  <si>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</si>
  <si>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</si>
  <si>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</si>
  <si>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</si>
  <si>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</si>
  <si>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</si>
  <si>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</si>
  <si>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</si>
  <si>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</si>
  <si>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</si>
  <si>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</si>
  <si>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</si>
  <si>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</si>
  <si>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</si>
  <si>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</si>
  <si>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</si>
  <si>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</si>
  <si>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</si>
  <si>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</si>
  <si>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</si>
  <si>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</si>
  <si>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</si>
  <si>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</si>
  <si>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</si>
  <si>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</si>
  <si>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</si>
  <si>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</si>
  <si>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</si>
  <si>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</si>
  <si>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</si>
  <si>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</si>
  <si>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</si>
  <si>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</si>
  <si>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</si>
  <si>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</si>
  <si>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</si>
  <si>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</si>
  <si>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</si>
  <si>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</si>
  <si>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</si>
  <si>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</si>
  <si>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</si>
  <si>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</si>
  <si>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</si>
  <si>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</si>
  <si>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</si>
  <si>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</si>
  <si>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</si>
  <si>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</si>
  <si>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</si>
  <si>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</si>
  <si>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</si>
  <si>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</si>
  <si>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</si>
  <si>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</si>
  <si>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</si>
  <si>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</si>
  <si>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</si>
  <si>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</si>
  <si>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</si>
  <si>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</si>
  <si>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</si>
  <si>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</si>
  <si>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</si>
  <si>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</si>
  <si>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</si>
  <si>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</si>
  <si>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</si>
  <si>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</si>
  <si>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</si>
  <si>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</si>
  <si>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</si>
  <si>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</si>
  <si>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</si>
  <si>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</si>
  <si>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</si>
  <si>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</si>
  <si>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</si>
  <si>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</si>
  <si>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</si>
  <si>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</si>
  <si>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</si>
  <si>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</si>
  <si>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</si>
  <si>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</si>
  <si>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</si>
  <si>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</si>
  <si>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</si>
  <si>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</si>
  <si>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</si>
  <si>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</si>
  <si>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</si>
  <si>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</si>
  <si>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</si>
  <si>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</si>
  <si>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</si>
  <si>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</si>
  <si>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</si>
  <si>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</si>
  <si>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</si>
  <si>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</si>
  <si>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</si>
  <si>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</si>
  <si>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</si>
  <si>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</si>
  <si>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</si>
  <si>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</si>
  <si>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</si>
  <si>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</si>
  <si>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</si>
  <si>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</si>
  <si>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</si>
  <si>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</si>
  <si>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</si>
  <si>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</si>
  <si>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</si>
  <si>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</si>
  <si>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</si>
  <si>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</si>
  <si>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</si>
  <si>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</si>
  <si>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</si>
  <si>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</si>
  <si>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</si>
  <si>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</si>
  <si>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</si>
  <si>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</si>
  <si>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</si>
  <si>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</si>
  <si>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</si>
  <si>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</si>
  <si>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</si>
  <si>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</si>
  <si>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</si>
  <si>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</si>
  <si>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</si>
  <si>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</si>
  <si>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</si>
  <si>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</si>
  <si>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</si>
  <si>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</si>
  <si>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</si>
  <si>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</si>
  <si>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</si>
  <si>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</si>
  <si>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</si>
  <si>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</si>
  <si>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</si>
  <si>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</si>
  <si>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</si>
  <si>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</si>
  <si>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</si>
  <si>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</si>
  <si>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</si>
  <si>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</si>
  <si>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</si>
  <si>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</si>
  <si>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</si>
  <si>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</si>
  <si>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</si>
  <si>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</si>
  <si>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</si>
  <si>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</si>
  <si>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</si>
  <si>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</si>
  <si>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</si>
  <si>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</si>
  <si>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</si>
  <si>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</si>
  <si>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</si>
  <si>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</si>
  <si>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</si>
  <si>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</si>
  <si>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</si>
  <si>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</si>
  <si>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</si>
  <si>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</si>
  <si>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</si>
  <si>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</si>
  <si>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</si>
  <si>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</si>
  <si>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</si>
  <si>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</si>
  <si>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</si>
  <si>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</si>
  <si>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</si>
  <si>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</si>
  <si>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</si>
  <si>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</si>
  <si>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</si>
  <si>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</si>
  <si>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</si>
  <si>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</si>
  <si>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</si>
  <si>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</si>
  <si>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</si>
  <si>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</si>
  <si>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</si>
  <si>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</si>
  <si>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</si>
  <si>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</si>
  <si>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</si>
  <si>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</si>
  <si>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</si>
  <si>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</si>
  <si>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</si>
  <si>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</si>
  <si>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</si>
  <si>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</si>
  <si>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</si>
  <si>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</si>
  <si>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</si>
  <si>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</si>
  <si>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</si>
  <si>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</si>
  <si>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</si>
  <si>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</si>
  <si>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</si>
  <si>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</si>
  <si>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</si>
  <si>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</si>
  <si>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</si>
  <si>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</si>
  <si>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</si>
  <si>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</si>
  <si>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</si>
  <si>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</si>
  <si>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</si>
  <si>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</si>
  <si>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</si>
  <si>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</si>
  <si>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</si>
  <si>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</si>
  <si>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</si>
  <si>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</si>
  <si>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</si>
  <si>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</si>
  <si>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</si>
  <si>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</si>
  <si>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</si>
  <si>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</si>
  <si>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</si>
  <si>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</si>
  <si>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</si>
  <si>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</si>
  <si>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</si>
  <si>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</si>
  <si>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</si>
  <si>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</si>
  <si>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</si>
  <si>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</si>
  <si>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</si>
  <si>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</si>
  <si>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</si>
  <si>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</si>
  <si>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</si>
  <si>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</si>
  <si>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</si>
  <si>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</si>
  <si>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</si>
  <si>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</si>
  <si>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</si>
  <si>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</si>
  <si>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</si>
  <si>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</si>
  <si>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</si>
  <si>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</si>
  <si>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</si>
  <si>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</si>
  <si>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</si>
  <si>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</si>
  <si>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</si>
  <si>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</si>
  <si>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</si>
  <si>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</si>
  <si>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</si>
  <si>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</si>
  <si>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</si>
  <si>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</si>
  <si>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</si>
  <si>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</si>
  <si>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</si>
  <si>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</si>
  <si>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</si>
  <si>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</si>
  <si>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</si>
  <si>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</si>
  <si>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</si>
  <si>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</si>
  <si>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</si>
  <si>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</si>
  <si>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</si>
  <si>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</si>
  <si>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</si>
  <si>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</si>
  <si>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</si>
  <si>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</si>
  <si>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</si>
  <si>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</si>
  <si>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</si>
  <si>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</si>
  <si>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</si>
  <si>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</si>
  <si>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</si>
  <si>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</si>
  <si>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</si>
  <si>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</si>
  <si>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</si>
  <si>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</si>
  <si>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</si>
  <si>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</si>
  <si>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</si>
  <si>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</si>
  <si>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</si>
  <si>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</si>
  <si>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</si>
  <si>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</si>
  <si>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</si>
  <si>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</si>
  <si>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</si>
  <si>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</si>
  <si>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</si>
  <si>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</si>
  <si>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</si>
  <si>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</si>
  <si>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</si>
  <si>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</si>
  <si>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</si>
  <si>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</si>
  <si>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</si>
  <si>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</si>
  <si>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</si>
  <si>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</si>
  <si>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</si>
  <si>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</si>
  <si>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</si>
  <si>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</si>
  <si>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</si>
  <si>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</si>
  <si>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</si>
  <si>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</si>
  <si>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</si>
  <si>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</si>
  <si>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</si>
  <si>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</si>
  <si>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</si>
  <si>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</si>
  <si>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</si>
  <si>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</si>
  <si>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</si>
  <si>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</si>
  <si>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</si>
  <si>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</si>
  <si>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</si>
  <si>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</si>
  <si>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</si>
  <si>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</si>
  <si>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</si>
  <si>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</si>
  <si>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</si>
  <si>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</si>
  <si>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</si>
  <si>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</si>
  <si>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</si>
  <si>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</si>
  <si>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</si>
  <si>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</si>
  <si>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</si>
  <si>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</si>
  <si>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</si>
  <si>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</si>
  <si>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</si>
  <si>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</si>
  <si>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</si>
  <si>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</si>
  <si>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</si>
  <si>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</si>
  <si>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</si>
  <si>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</si>
  <si>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</si>
  <si>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</si>
  <si>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</si>
  <si>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</si>
  <si>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</si>
  <si>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</si>
  <si>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</si>
  <si>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</si>
  <si>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</si>
  <si>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</si>
  <si>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</si>
  <si>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</si>
  <si>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</si>
  <si>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</si>
  <si>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</si>
  <si>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</si>
  <si>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</si>
  <si>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</si>
  <si>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</si>
  <si>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</si>
  <si>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</si>
  <si>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</si>
  <si>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</si>
  <si>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</si>
  <si>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</si>
  <si>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</si>
  <si>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</si>
  <si>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</si>
  <si>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</si>
  <si>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</si>
  <si>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</si>
  <si>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</si>
  <si>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</si>
  <si>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</si>
  <si>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</si>
  <si>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</si>
  <si>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</si>
  <si>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</si>
  <si>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</si>
  <si>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</si>
  <si>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</si>
  <si>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</si>
  <si>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</si>
  <si>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</si>
  <si>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</si>
  <si>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</si>
  <si>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</si>
  <si>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</si>
  <si>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</si>
  <si>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</si>
  <si>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</si>
  <si>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</si>
  <si>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</si>
  <si>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</si>
  <si>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</si>
  <si>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</si>
  <si>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</si>
  <si>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</si>
  <si>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</si>
  <si>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</si>
  <si>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</si>
  <si>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</si>
  <si>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</si>
  <si>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</si>
  <si>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</si>
  <si>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</si>
  <si>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</si>
  <si>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</si>
  <si>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</si>
  <si>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</si>
  <si>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</si>
  <si>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</si>
  <si>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</si>
  <si>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</si>
  <si>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</si>
  <si>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</si>
  <si>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</si>
  <si>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</si>
  <si>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</si>
  <si>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</si>
  <si>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</si>
  <si>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</si>
  <si>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</si>
  <si>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</si>
  <si>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</si>
  <si>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</si>
  <si>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</si>
  <si>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</si>
  <si>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</si>
  <si>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</si>
  <si>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</si>
  <si>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</si>
  <si>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</si>
  <si>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</si>
  <si>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</si>
  <si>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</si>
  <si>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</si>
  <si>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</si>
  <si>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</si>
  <si>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</si>
  <si>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</si>
  <si>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</si>
  <si>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</si>
  <si>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</si>
  <si>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</si>
  <si>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</si>
  <si>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</si>
  <si>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</si>
  <si>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</si>
  <si>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</si>
  <si>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</si>
  <si>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</si>
  <si>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</si>
  <si>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</si>
  <si>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</si>
  <si>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</si>
  <si>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</si>
  <si>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</si>
  <si>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</si>
  <si>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</si>
  <si>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</si>
  <si>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</si>
  <si>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</si>
  <si>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</si>
  <si>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</si>
  <si>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</si>
  <si>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</si>
  <si>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</si>
  <si>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</si>
  <si>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</si>
  <si>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</si>
  <si>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</si>
  <si>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</si>
  <si>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</si>
  <si>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</si>
  <si>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</si>
  <si>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</si>
  <si>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</si>
  <si>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</si>
  <si>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</si>
  <si>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</si>
  <si>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</si>
  <si>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</si>
  <si>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</si>
  <si>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</si>
  <si>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</si>
  <si>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</si>
  <si>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</si>
  <si>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</si>
  <si>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</si>
  <si>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</si>
  <si>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</si>
  <si>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</si>
  <si>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</si>
  <si>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</si>
  <si>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</si>
  <si>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</si>
  <si>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</si>
  <si>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</si>
  <si>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</si>
  <si>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</si>
  <si>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</si>
  <si>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</si>
  <si>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</si>
  <si>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</si>
  <si>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</si>
  <si>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</si>
  <si>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</si>
  <si>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</si>
  <si>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</si>
  <si>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</si>
  <si>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</si>
  <si>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</si>
  <si>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</si>
  <si>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</si>
  <si>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</si>
  <si>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</si>
  <si>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</si>
  <si>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</si>
  <si>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</si>
  <si>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</si>
  <si>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</si>
  <si>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</si>
  <si>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</si>
  <si>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</si>
  <si>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</si>
  <si>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</si>
  <si>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</si>
  <si>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</si>
  <si>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</si>
  <si>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</si>
  <si>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</si>
  <si>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</si>
  <si>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</si>
  <si>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</si>
  <si>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</si>
  <si>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</si>
  <si>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</si>
  <si>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</si>
  <si>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</si>
  <si>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</si>
  <si>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</si>
  <si>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</si>
  <si>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</si>
  <si>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</si>
  <si>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</si>
  <si>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</si>
  <si>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</si>
  <si>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</si>
  <si>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</si>
  <si>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</si>
  <si>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</si>
  <si>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</si>
  <si>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</si>
  <si>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</si>
  <si>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</si>
  <si>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</si>
  <si>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</si>
  <si>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</si>
  <si>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</si>
  <si>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</si>
  <si>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</si>
  <si>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</si>
  <si>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</si>
  <si>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</si>
  <si>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</si>
  <si>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</si>
  <si>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</si>
  <si>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</si>
  <si>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</si>
  <si>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</si>
  <si>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</si>
  <si>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</si>
  <si>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</si>
  <si>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</si>
  <si>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</si>
  <si>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</si>
  <si>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</si>
  <si>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</si>
  <si>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</si>
  <si>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</si>
  <si>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</si>
  <si>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</si>
  <si>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</si>
  <si>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</si>
  <si>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</si>
  <si>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</si>
  <si>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</si>
  <si>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</si>
  <si>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</si>
  <si>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</si>
  <si>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</si>
  <si>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</si>
  <si>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</si>
  <si>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</si>
  <si>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</si>
  <si>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</si>
  <si>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</si>
  <si>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icd10_s_cd</t>
  </si>
  <si>
    <t>icd10_s_name</t>
  </si>
  <si>
    <t>ICD10小区分名称</t>
    <rPh sb="6" eb="8">
      <t>クブン</t>
    </rPh>
    <rPh sb="8" eb="10">
      <t>メイショウ</t>
    </rPh>
    <phoneticPr fontId="8"/>
  </si>
  <si>
    <t>ICD10小区分</t>
    <rPh sb="6" eb="8">
      <t>クブン</t>
    </rPh>
    <phoneticPr fontId="8"/>
  </si>
  <si>
    <t>セレクト_疾患データ_大区分</t>
    <rPh sb="12" eb="14">
      <t>クブン</t>
    </rPh>
    <phoneticPr fontId="8"/>
  </si>
  <si>
    <t>セレクト_疾患データ_小区分</t>
    <rPh sb="11" eb="14">
      <t>ショウクブン</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</si>
  <si>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</si>
  <si>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</si>
  <si>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</si>
  <si>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</si>
  <si>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</si>
  <si>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</si>
  <si>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</si>
  <si>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</si>
  <si>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</si>
  <si>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</si>
  <si>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</si>
  <si>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</si>
  <si>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</si>
  <si>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</si>
  <si>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</si>
  <si>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</si>
  <si>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</si>
  <si>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</si>
  <si>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</si>
  <si>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</si>
  <si>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</si>
  <si>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</si>
  <si>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</si>
  <si>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</si>
  <si>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</si>
  <si>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</si>
  <si>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</si>
  <si>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</si>
  <si>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</si>
  <si>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</si>
  <si>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</si>
  <si>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</si>
  <si>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</si>
  <si>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</si>
  <si>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</si>
  <si>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</si>
  <si>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</si>
  <si>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</si>
  <si>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</si>
  <si>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</si>
  <si>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</si>
  <si>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</si>
  <si>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</si>
  <si>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</si>
  <si>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</si>
  <si>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</si>
  <si>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</si>
  <si>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</si>
  <si>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</si>
  <si>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</si>
  <si>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</si>
  <si>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</si>
  <si>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</si>
  <si>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</si>
  <si>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</si>
  <si>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</si>
  <si>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</si>
  <si>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</si>
  <si>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</si>
  <si>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</si>
  <si>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</si>
  <si>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</si>
  <si>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</si>
  <si>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</si>
  <si>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</si>
  <si>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</si>
  <si>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</si>
  <si>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</si>
  <si>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</si>
  <si>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</si>
  <si>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</si>
  <si>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</si>
  <si>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</si>
  <si>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</si>
  <si>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</si>
  <si>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</si>
  <si>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</si>
  <si>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</si>
  <si>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</si>
  <si>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</si>
  <si>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</si>
  <si>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</si>
  <si>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</si>
  <si>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</si>
  <si>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</si>
  <si>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</si>
  <si>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</si>
  <si>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</si>
  <si>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</si>
  <si>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</si>
  <si>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</si>
  <si>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</si>
  <si>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</si>
  <si>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</si>
  <si>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</si>
  <si>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</si>
  <si>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</si>
  <si>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</si>
  <si>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</si>
  <si>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</si>
  <si>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</si>
  <si>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</si>
  <si>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</si>
  <si>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</si>
  <si>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</si>
  <si>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</si>
  <si>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</si>
  <si>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</si>
  <si>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</si>
  <si>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</si>
  <si>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</si>
  <si>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</si>
  <si>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</si>
  <si>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</si>
  <si>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</si>
  <si>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</si>
  <si>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</si>
  <si>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</si>
  <si>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</si>
  <si>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</si>
  <si>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</si>
  <si>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</si>
  <si>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</si>
  <si>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</si>
  <si>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</si>
  <si>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</si>
  <si>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</si>
  <si>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</si>
  <si>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</si>
  <si>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</si>
  <si>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</si>
  <si>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</si>
  <si>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</si>
  <si>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</si>
  <si>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</si>
  <si>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</si>
  <si>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</si>
  <si>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</si>
  <si>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</si>
  <si>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</si>
  <si>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</si>
  <si>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</si>
  <si>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</si>
  <si>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</si>
  <si>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</si>
  <si>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</si>
  <si>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</si>
  <si>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</si>
  <si>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</si>
  <si>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</si>
  <si>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</si>
  <si>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</si>
  <si>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</si>
  <si>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</si>
  <si>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</si>
  <si>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</si>
  <si>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</si>
  <si>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</si>
  <si>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</si>
  <si>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</si>
  <si>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</si>
  <si>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</si>
  <si>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</si>
  <si>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</si>
  <si>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</si>
  <si>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</si>
  <si>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</si>
  <si>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</si>
  <si>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</si>
  <si>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</si>
  <si>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</si>
  <si>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</si>
  <si>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</si>
  <si>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</si>
  <si>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</si>
  <si>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</si>
  <si>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</si>
  <si>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</si>
  <si>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</si>
  <si>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</si>
  <si>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</si>
  <si>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</si>
  <si>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</si>
  <si>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</si>
  <si>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</si>
  <si>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</si>
  <si>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</si>
  <si>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</si>
  <si>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</si>
  <si>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</si>
  <si>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</si>
  <si>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</si>
  <si>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</si>
  <si>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</si>
  <si>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</si>
  <si>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</si>
  <si>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</si>
  <si>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</si>
  <si>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</si>
  <si>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</si>
  <si>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</si>
  <si>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</si>
  <si>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</si>
  <si>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</si>
  <si>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</si>
  <si>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</si>
  <si>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</si>
  <si>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</si>
  <si>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</si>
  <si>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</si>
  <si>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</si>
  <si>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</si>
  <si>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</si>
  <si>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</si>
  <si>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</si>
  <si>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</si>
  <si>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</si>
  <si>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</si>
  <si>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</si>
  <si>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</si>
  <si>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</si>
  <si>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</si>
  <si>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</si>
  <si>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</si>
  <si>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</si>
  <si>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</si>
  <si>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</si>
  <si>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</si>
  <si>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</si>
  <si>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</si>
  <si>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</si>
  <si>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</si>
  <si>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</si>
  <si>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</si>
  <si>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</si>
  <si>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</si>
  <si>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</si>
  <si>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</si>
  <si>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</si>
  <si>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</si>
  <si>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</si>
  <si>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</si>
  <si>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</si>
  <si>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</si>
  <si>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</si>
  <si>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</si>
  <si>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</si>
  <si>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</si>
  <si>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</si>
  <si>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</si>
  <si>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</si>
  <si>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</si>
  <si>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</si>
  <si>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</si>
  <si>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</si>
  <si>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</si>
  <si>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</si>
  <si>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</si>
  <si>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</si>
  <si>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</si>
  <si>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</si>
  <si>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</si>
  <si>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</si>
  <si>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</si>
  <si>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</si>
  <si>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</si>
  <si>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</si>
  <si>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</si>
  <si>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</si>
  <si>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</si>
  <si>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</si>
  <si>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</si>
  <si>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</si>
  <si>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</si>
  <si>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</si>
  <si>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</si>
  <si>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</si>
  <si>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</si>
  <si>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</si>
  <si>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</si>
  <si>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</si>
  <si>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</si>
  <si>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</si>
  <si>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</si>
  <si>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</si>
  <si>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</si>
  <si>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</si>
  <si>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</si>
  <si>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</si>
  <si>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</si>
  <si>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</si>
  <si>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</si>
  <si>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</si>
  <si>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</si>
  <si>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</si>
  <si>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</si>
  <si>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</si>
  <si>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</si>
  <si>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</si>
  <si>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</si>
  <si>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</si>
  <si>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</si>
  <si>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</si>
  <si>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</si>
  <si>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</si>
  <si>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</si>
  <si>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</si>
  <si>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</si>
  <si>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</si>
  <si>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</si>
  <si>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</si>
  <si>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</si>
  <si>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</si>
  <si>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</si>
  <si>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</si>
  <si>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</si>
  <si>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</si>
  <si>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</si>
  <si>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</si>
  <si>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</si>
  <si>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</si>
  <si>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</si>
  <si>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</si>
  <si>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</si>
  <si>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</si>
  <si>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</si>
  <si>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</si>
  <si>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</si>
  <si>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</si>
  <si>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</si>
  <si>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</si>
  <si>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</si>
  <si>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</si>
  <si>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</si>
  <si>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</si>
  <si>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</si>
  <si>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</si>
  <si>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</si>
  <si>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</si>
  <si>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</si>
  <si>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</si>
  <si>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</si>
  <si>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</si>
  <si>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</si>
  <si>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</si>
  <si>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</si>
  <si>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</si>
  <si>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</si>
  <si>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</si>
  <si>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</si>
  <si>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</si>
  <si>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</si>
  <si>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</si>
  <si>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</si>
  <si>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</si>
  <si>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</si>
  <si>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</si>
  <si>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</si>
  <si>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</si>
  <si>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</si>
  <si>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</si>
  <si>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</si>
  <si>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</si>
  <si>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</si>
  <si>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</si>
  <si>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</si>
  <si>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</si>
  <si>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</si>
  <si>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</si>
  <si>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</si>
  <si>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</si>
  <si>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</si>
  <si>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</si>
  <si>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</si>
  <si>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</si>
  <si>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</si>
  <si>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</si>
  <si>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</si>
  <si>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</si>
  <si>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</si>
  <si>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</si>
  <si>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</si>
  <si>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</si>
  <si>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</si>
  <si>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</si>
  <si>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</si>
  <si>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</si>
  <si>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</si>
  <si>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</si>
  <si>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</si>
  <si>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</si>
  <si>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</si>
  <si>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</si>
  <si>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</si>
  <si>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</si>
  <si>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</si>
  <si>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</si>
  <si>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</si>
  <si>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</si>
  <si>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</si>
  <si>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</si>
  <si>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</si>
  <si>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</si>
  <si>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</si>
  <si>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</si>
  <si>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</si>
  <si>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</si>
  <si>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</si>
  <si>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</si>
  <si>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</si>
  <si>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</si>
  <si>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</si>
  <si>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</si>
  <si>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</si>
  <si>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</si>
  <si>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</si>
  <si>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</si>
  <si>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</si>
  <si>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</si>
  <si>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</si>
  <si>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</si>
  <si>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</si>
  <si>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</si>
  <si>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</si>
  <si>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</si>
  <si>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</si>
  <si>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</si>
  <si>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</si>
  <si>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</si>
  <si>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</si>
  <si>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</si>
  <si>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</si>
  <si>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</si>
  <si>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</si>
  <si>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</si>
  <si>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</si>
  <si>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</si>
  <si>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</si>
  <si>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</si>
  <si>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</si>
  <si>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</si>
  <si>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</si>
  <si>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</si>
  <si>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</si>
  <si>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</si>
  <si>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</si>
  <si>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</si>
  <si>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</si>
  <si>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</si>
  <si>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</si>
  <si>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</si>
  <si>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</si>
  <si>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</si>
  <si>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</si>
  <si>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</si>
  <si>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</si>
  <si>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</si>
  <si>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</si>
  <si>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</si>
  <si>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</si>
  <si>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</si>
  <si>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</si>
  <si>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</si>
  <si>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</si>
  <si>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</si>
  <si>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</si>
  <si>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</si>
  <si>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</si>
  <si>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</si>
  <si>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</si>
  <si>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</si>
  <si>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</si>
  <si>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</si>
  <si>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</si>
  <si>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</si>
  <si>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</si>
  <si>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</si>
  <si>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</si>
  <si>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</si>
  <si>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</si>
  <si>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</si>
  <si>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</si>
  <si>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</si>
  <si>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</si>
  <si>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</si>
  <si>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</si>
  <si>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</si>
  <si>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</si>
  <si>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</si>
  <si>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</si>
  <si>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</si>
  <si>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</si>
  <si>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</si>
  <si>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</si>
  <si>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</si>
  <si>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</si>
  <si>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</si>
  <si>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</si>
  <si>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</si>
  <si>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</si>
  <si>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</si>
  <si>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</si>
  <si>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</si>
  <si>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</si>
  <si>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</si>
  <si>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</si>
  <si>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</si>
  <si>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</si>
  <si>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</si>
  <si>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</si>
  <si>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</si>
  <si>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</si>
  <si>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</si>
  <si>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</si>
  <si>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</si>
  <si>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</si>
  <si>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</si>
  <si>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</si>
  <si>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</si>
  <si>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</si>
  <si>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</si>
  <si>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</si>
  <si>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</si>
  <si>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</si>
  <si>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</si>
  <si>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</si>
  <si>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</si>
  <si>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</si>
  <si>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</si>
  <si>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</si>
  <si>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</si>
  <si>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</si>
  <si>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</si>
  <si>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</si>
  <si>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</si>
  <si>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</si>
  <si>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</si>
  <si>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</si>
  <si>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</si>
  <si>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</si>
  <si>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</si>
  <si>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</si>
  <si>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</si>
  <si>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</si>
  <si>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</si>
  <si>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</si>
  <si>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</si>
  <si>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</si>
  <si>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</si>
  <si>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</si>
  <si>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</si>
  <si>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</si>
  <si>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</si>
  <si>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</si>
  <si>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</si>
  <si>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</si>
  <si>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</si>
  <si>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</si>
  <si>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</si>
  <si>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</si>
  <si>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</si>
  <si>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</si>
  <si>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</si>
  <si>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</si>
  <si>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</si>
  <si>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</si>
  <si>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</si>
  <si>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</si>
  <si>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</si>
  <si>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</si>
  <si>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</si>
  <si>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</si>
  <si>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</si>
  <si>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</si>
  <si>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</si>
  <si>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</si>
  <si>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</si>
  <si>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</si>
  <si>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</si>
  <si>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</si>
  <si>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</si>
  <si>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</si>
  <si>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</si>
  <si>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</si>
  <si>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</si>
  <si>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</si>
  <si>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</si>
  <si>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</si>
  <si>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</si>
  <si>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</si>
  <si>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</si>
  <si>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</si>
  <si>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</si>
  <si>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</si>
  <si>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</si>
  <si>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</si>
  <si>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</si>
  <si>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</si>
  <si>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</si>
  <si>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</si>
  <si>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</si>
  <si>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</si>
  <si>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</si>
  <si>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</si>
  <si>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</si>
  <si>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</si>
  <si>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</si>
  <si>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</si>
  <si>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</si>
  <si>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</si>
  <si>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</si>
  <si>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</si>
  <si>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</si>
  <si>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</si>
  <si>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</si>
  <si>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</si>
  <si>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</si>
  <si>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</si>
  <si>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</si>
  <si>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</si>
  <si>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</si>
  <si>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</si>
  <si>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</si>
  <si>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</si>
  <si>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</si>
  <si>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</si>
  <si>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</si>
  <si>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</si>
  <si>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</si>
  <si>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</si>
  <si>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</si>
  <si>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</si>
  <si>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</si>
  <si>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</si>
  <si>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</si>
  <si>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</si>
  <si>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</si>
  <si>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</si>
  <si>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</si>
  <si>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</si>
  <si>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</si>
  <si>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</si>
  <si>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</si>
  <si>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</si>
  <si>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</si>
  <si>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</si>
  <si>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</si>
  <si>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</si>
  <si>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</si>
  <si>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</si>
  <si>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</si>
  <si>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</si>
  <si>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</si>
  <si>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</si>
  <si>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</si>
  <si>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</si>
  <si>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</si>
  <si>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</si>
  <si>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</si>
  <si>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</si>
  <si>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</si>
  <si>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</si>
  <si>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</si>
  <si>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</si>
  <si>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</si>
  <si>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</si>
  <si>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</si>
  <si>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</si>
  <si>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</si>
  <si>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</si>
  <si>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</si>
  <si>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</si>
  <si>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</si>
  <si>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</si>
  <si>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</si>
  <si>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</si>
  <si>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</si>
  <si>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</si>
  <si>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</si>
  <si>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</si>
  <si>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</si>
  <si>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</si>
  <si>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</si>
  <si>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</si>
  <si>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</si>
  <si>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</si>
  <si>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</si>
  <si>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</si>
  <si>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</si>
  <si>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</si>
  <si>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</si>
  <si>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</si>
  <si>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</si>
  <si>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</si>
  <si>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</si>
  <si>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</si>
  <si>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</si>
  <si>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</si>
  <si>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</si>
  <si>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</si>
  <si>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</si>
  <si>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</si>
  <si>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</si>
  <si>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</si>
  <si>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</si>
  <si>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</si>
  <si>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</si>
  <si>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</si>
  <si>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</si>
  <si>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</si>
  <si>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</si>
  <si>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</si>
  <si>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</si>
  <si>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</si>
  <si>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</si>
  <si>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</si>
  <si>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</si>
  <si>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</si>
  <si>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</si>
  <si>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</si>
  <si>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</si>
  <si>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</si>
  <si>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</si>
  <si>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</si>
  <si>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</si>
  <si>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</si>
  <si>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</si>
  <si>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</si>
  <si>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</si>
  <si>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</si>
  <si>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</si>
  <si>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</si>
  <si>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</si>
  <si>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</si>
  <si>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</si>
  <si>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</si>
  <si>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</si>
  <si>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</si>
  <si>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</si>
  <si>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</si>
  <si>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</si>
  <si>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</si>
  <si>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</si>
  <si>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</si>
  <si>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</si>
  <si>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</si>
  <si>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</si>
  <si>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</si>
  <si>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</si>
  <si>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</si>
  <si>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</si>
  <si>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</si>
  <si>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</si>
  <si>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</si>
  <si>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</si>
  <si>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</si>
  <si>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</si>
  <si>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</si>
  <si>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</si>
  <si>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</si>
  <si>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</si>
  <si>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</si>
  <si>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</si>
  <si>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</si>
  <si>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</si>
  <si>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</si>
  <si>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</si>
  <si>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</si>
  <si>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</si>
  <si>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</si>
  <si>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</si>
  <si>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</si>
  <si>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</si>
  <si>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</si>
  <si>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</si>
  <si>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</si>
  <si>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</si>
  <si>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</si>
  <si>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</si>
  <si>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</si>
  <si>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</si>
  <si>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</si>
  <si>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</si>
  <si>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</si>
  <si>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</si>
  <si>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</si>
  <si>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</si>
  <si>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</si>
  <si>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</si>
  <si>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</si>
  <si>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</si>
  <si>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</si>
  <si>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</si>
  <si>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</si>
  <si>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</si>
  <si>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</si>
  <si>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</si>
  <si>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</si>
  <si>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</si>
  <si>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</si>
  <si>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</si>
  <si>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</si>
  <si>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</si>
  <si>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</si>
  <si>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</si>
  <si>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</si>
  <si>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</si>
  <si>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</si>
  <si>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</si>
  <si>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</si>
  <si>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</si>
  <si>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</si>
  <si>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</si>
  <si>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</si>
  <si>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</si>
  <si>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</si>
  <si>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</si>
  <si>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</si>
  <si>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</si>
  <si>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</si>
  <si>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</si>
  <si>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</si>
  <si>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</si>
  <si>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</si>
  <si>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</si>
  <si>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</si>
  <si>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</si>
  <si>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</si>
  <si>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</si>
  <si>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</si>
  <si>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</si>
  <si>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</si>
  <si>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</si>
  <si>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</si>
  <si>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</si>
  <si>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</si>
  <si>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</si>
  <si>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</si>
  <si>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</si>
  <si>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</si>
  <si>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</si>
  <si>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</si>
  <si>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</si>
  <si>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</si>
  <si>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</si>
  <si>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</si>
  <si>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</si>
  <si>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</si>
  <si>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</si>
  <si>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</si>
  <si>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</si>
  <si>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</si>
  <si>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</si>
  <si>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</si>
  <si>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</si>
  <si>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</si>
  <si>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</si>
  <si>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</si>
  <si>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</si>
  <si>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</si>
  <si>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</si>
  <si>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</si>
  <si>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</si>
  <si>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</si>
  <si>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</si>
  <si>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</si>
  <si>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</si>
  <si>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</si>
  <si>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</si>
  <si>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</si>
  <si>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</si>
  <si>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</si>
  <si>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</si>
  <si>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</si>
  <si>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</si>
  <si>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</si>
  <si>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</si>
  <si>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</si>
  <si>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</si>
  <si>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</si>
  <si>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</si>
  <si>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</si>
  <si>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</si>
  <si>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</si>
  <si>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</si>
  <si>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</si>
  <si>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</si>
  <si>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</si>
  <si>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</si>
  <si>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</si>
  <si>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</si>
  <si>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</si>
  <si>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</si>
  <si>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</si>
  <si>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</si>
  <si>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</si>
  <si>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</si>
  <si>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</si>
  <si>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</si>
  <si>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</si>
  <si>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</si>
  <si>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</si>
  <si>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</si>
  <si>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</si>
  <si>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</si>
  <si>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</si>
  <si>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</si>
  <si>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</si>
  <si>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</si>
  <si>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</si>
  <si>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</si>
  <si>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</si>
  <si>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</si>
  <si>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</si>
  <si>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</si>
  <si>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</si>
  <si>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</si>
  <si>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</si>
  <si>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</si>
  <si>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</si>
  <si>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</si>
  <si>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</si>
  <si>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</si>
  <si>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</si>
  <si>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</si>
  <si>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</si>
  <si>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</si>
  <si>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</si>
  <si>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</si>
  <si>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</si>
  <si>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</si>
  <si>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</si>
  <si>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</si>
  <si>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</si>
  <si>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</si>
  <si>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</si>
  <si>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</si>
  <si>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</si>
  <si>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</si>
  <si>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</si>
  <si>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</si>
  <si>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</si>
  <si>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</si>
  <si>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</si>
  <si>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</si>
  <si>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</si>
  <si>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</si>
  <si>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</si>
  <si>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</si>
  <si>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</si>
  <si>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</si>
  <si>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</si>
  <si>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</si>
  <si>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</si>
  <si>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</si>
  <si>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</si>
  <si>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</si>
  <si>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</si>
  <si>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</si>
  <si>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</si>
  <si>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</si>
  <si>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</si>
  <si>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</si>
  <si>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</si>
  <si>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</si>
  <si>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</si>
  <si>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</si>
  <si>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</si>
  <si>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</si>
  <si>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</si>
  <si>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</si>
  <si>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</si>
  <si>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</si>
  <si>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</si>
  <si>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</si>
  <si>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</si>
  <si>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</si>
  <si>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</si>
  <si>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</si>
  <si>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</si>
  <si>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</si>
  <si>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</si>
  <si>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</si>
  <si>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</si>
  <si>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</si>
  <si>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</si>
  <si>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</si>
  <si>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</si>
  <si>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</si>
  <si>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</si>
  <si>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</si>
  <si>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</si>
  <si>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</si>
  <si>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</si>
  <si>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</si>
  <si>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</si>
  <si>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</si>
  <si>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</si>
  <si>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</si>
  <si>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</si>
  <si>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</si>
  <si>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</si>
  <si>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</si>
  <si>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</si>
  <si>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</si>
  <si>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</si>
  <si>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</si>
  <si>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</si>
  <si>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</si>
  <si>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</si>
  <si>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</si>
  <si>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</si>
  <si>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</si>
  <si>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</si>
  <si>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</si>
  <si>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</si>
  <si>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</si>
  <si>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</si>
  <si>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</si>
  <si>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</si>
  <si>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</si>
  <si>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</si>
  <si>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</si>
  <si>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</si>
  <si>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</si>
  <si>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</si>
  <si>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</si>
  <si>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</si>
  <si>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</si>
  <si>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</si>
  <si>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</si>
  <si>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</si>
  <si>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</si>
  <si>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</si>
  <si>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</si>
  <si>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</si>
  <si>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</si>
  <si>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</si>
  <si>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</si>
  <si>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</si>
  <si>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</si>
  <si>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</si>
  <si>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</si>
  <si>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</si>
  <si>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</si>
  <si>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</si>
  <si>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</si>
  <si>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</si>
  <si>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</si>
  <si>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</si>
  <si>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</si>
  <si>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</si>
  <si>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</si>
  <si>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</si>
  <si>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</si>
  <si>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</si>
  <si>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</si>
  <si>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</si>
  <si>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</si>
  <si>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</si>
  <si>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</si>
  <si>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</si>
  <si>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</si>
  <si>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</si>
  <si>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</si>
  <si>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</si>
  <si>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</si>
  <si>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</si>
  <si>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</si>
  <si>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</si>
  <si>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</si>
  <si>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</si>
  <si>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</si>
  <si>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</si>
  <si>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</si>
  <si>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</si>
  <si>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</si>
  <si>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</si>
  <si>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</si>
  <si>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</si>
  <si>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</si>
  <si>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</si>
  <si>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</si>
  <si>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</si>
  <si>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</si>
  <si>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</si>
  <si>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</si>
  <si>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</si>
  <si>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</si>
  <si>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</si>
  <si>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</si>
  <si>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</si>
  <si>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</si>
  <si>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</si>
  <si>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</si>
  <si>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</si>
  <si>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</si>
  <si>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</si>
  <si>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</si>
  <si>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</si>
  <si>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</si>
  <si>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</si>
  <si>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</si>
  <si>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</si>
  <si>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</si>
  <si>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</si>
  <si>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</si>
  <si>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</si>
  <si>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</si>
  <si>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</si>
  <si>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</si>
  <si>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</si>
  <si>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</si>
  <si>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</si>
  <si>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</si>
  <si>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</si>
  <si>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</si>
  <si>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</si>
  <si>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</si>
  <si>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</si>
  <si>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</si>
  <si>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</si>
  <si>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</si>
  <si>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</si>
  <si>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</si>
  <si>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</si>
  <si>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</si>
  <si>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</si>
  <si>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</si>
  <si>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</si>
  <si>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</si>
  <si>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</si>
  <si>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</si>
  <si>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</si>
  <si>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</si>
  <si>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</si>
  <si>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</si>
  <si>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</si>
  <si>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</si>
  <si>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</si>
  <si>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</si>
  <si>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</si>
  <si>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</si>
  <si>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</si>
  <si>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</si>
  <si>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</si>
  <si>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</si>
  <si>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</si>
  <si>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</si>
  <si>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</si>
  <si>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</si>
  <si>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</si>
  <si>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</si>
  <si>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</si>
  <si>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</si>
  <si>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</si>
  <si>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</si>
  <si>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</si>
  <si>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</si>
  <si>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</si>
  <si>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</si>
  <si>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</si>
  <si>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</si>
  <si>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</si>
  <si>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</si>
  <si>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</si>
  <si>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</si>
  <si>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</si>
  <si>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</si>
  <si>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</si>
  <si>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</si>
  <si>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</si>
  <si>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</si>
  <si>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</si>
  <si>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</si>
  <si>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</si>
  <si>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</si>
  <si>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</si>
  <si>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</si>
  <si>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</si>
  <si>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</si>
  <si>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</si>
  <si>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</si>
  <si>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</si>
  <si>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</si>
  <si>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</si>
  <si>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</si>
  <si>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</si>
  <si>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</si>
  <si>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</si>
  <si>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</si>
  <si>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</si>
  <si>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</si>
  <si>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</si>
  <si>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</si>
  <si>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</si>
  <si>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</si>
  <si>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</si>
  <si>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</si>
  <si>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</si>
  <si>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</si>
  <si>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</si>
  <si>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</si>
  <si>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</si>
  <si>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</si>
  <si>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</si>
  <si>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</si>
  <si>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</si>
  <si>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</si>
  <si>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</si>
  <si>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</si>
  <si>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</si>
  <si>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</si>
  <si>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</si>
  <si>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</si>
  <si>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</si>
  <si>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</si>
  <si>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</si>
  <si>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</si>
  <si>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</si>
  <si>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</si>
  <si>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</si>
  <si>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</si>
  <si>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</si>
  <si>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</si>
  <si>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</si>
  <si>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</si>
  <si>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</si>
  <si>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</si>
  <si>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</si>
  <si>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</si>
  <si>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</si>
  <si>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</si>
  <si>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</si>
  <si>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</si>
  <si>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</si>
  <si>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</si>
  <si>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</si>
  <si>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</si>
  <si>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</si>
  <si>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</si>
  <si>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</si>
  <si>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</si>
  <si>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</si>
  <si>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</si>
  <si>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</si>
  <si>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</si>
  <si>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</si>
  <si>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</si>
  <si>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</si>
  <si>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</si>
  <si>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</si>
  <si>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</si>
  <si>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</si>
  <si>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</si>
  <si>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</si>
  <si>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</si>
  <si>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</si>
  <si>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</si>
  <si>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</si>
  <si>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</si>
  <si>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</si>
  <si>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</si>
  <si>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</si>
  <si>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</si>
  <si>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</si>
  <si>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</si>
  <si>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</si>
  <si>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</si>
  <si>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</si>
  <si>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</si>
  <si>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</si>
  <si>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</si>
  <si>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</si>
  <si>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</si>
  <si>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</si>
  <si>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</si>
  <si>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</si>
  <si>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</si>
  <si>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</si>
  <si>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</si>
  <si>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</si>
  <si>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</si>
  <si>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</si>
  <si>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</si>
  <si>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</si>
  <si>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</si>
  <si>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</si>
  <si>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</si>
  <si>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</si>
  <si>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</si>
  <si>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</si>
  <si>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</si>
  <si>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</si>
  <si>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</si>
  <si>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</si>
  <si>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</si>
  <si>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</si>
  <si>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</si>
  <si>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</si>
  <si>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</si>
  <si>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</si>
  <si>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</si>
  <si>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</si>
  <si>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</si>
  <si>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</si>
  <si>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</si>
  <si>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</si>
  <si>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</si>
  <si>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</si>
  <si>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</si>
  <si>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</si>
  <si>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</si>
  <si>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</si>
  <si>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</si>
  <si>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</si>
  <si>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</si>
  <si>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</si>
  <si>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</si>
  <si>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</si>
  <si>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</si>
  <si>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</si>
  <si>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</si>
  <si>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</si>
  <si>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</si>
  <si>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</si>
  <si>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</si>
  <si>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</si>
  <si>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</si>
  <si>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</si>
  <si>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</si>
  <si>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</si>
  <si>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</si>
  <si>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</si>
  <si>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</si>
  <si>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</si>
  <si>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</si>
  <si>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</si>
  <si>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</si>
  <si>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</si>
  <si>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</si>
  <si>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</si>
  <si>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</si>
  <si>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</si>
  <si>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</si>
  <si>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</si>
  <si>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</si>
  <si>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</si>
  <si>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</si>
  <si>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</si>
  <si>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</si>
  <si>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</si>
  <si>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</si>
  <si>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</si>
  <si>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</si>
  <si>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</si>
  <si>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</si>
  <si>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</si>
  <si>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</si>
  <si>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</si>
  <si>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</si>
  <si>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</si>
  <si>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</si>
  <si>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</si>
  <si>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</si>
  <si>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</si>
  <si>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</si>
  <si>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</si>
  <si>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</si>
  <si>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</si>
  <si>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</si>
  <si>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</si>
  <si>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</si>
  <si>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</si>
  <si>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</si>
  <si>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</si>
  <si>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</si>
  <si>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</si>
  <si>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</si>
  <si>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</si>
  <si>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</si>
  <si>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</si>
  <si>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</si>
  <si>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</si>
  <si>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</si>
  <si>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</si>
  <si>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</si>
  <si>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</si>
  <si>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</si>
  <si>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</si>
  <si>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</si>
  <si>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</si>
  <si>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</si>
  <si>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</si>
  <si>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</si>
  <si>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</si>
  <si>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</si>
  <si>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</si>
  <si>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</si>
  <si>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</si>
  <si>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</si>
  <si>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</si>
  <si>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</si>
  <si>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</si>
  <si>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</si>
  <si>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</si>
  <si>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</si>
  <si>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</si>
  <si>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</si>
  <si>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</si>
  <si>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</si>
  <si>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</si>
  <si>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</si>
  <si>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</si>
  <si>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</si>
  <si>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</si>
  <si>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</si>
  <si>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</si>
  <si>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</si>
  <si>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</si>
  <si>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</si>
  <si>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</si>
  <si>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</si>
  <si>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</si>
  <si>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</si>
  <si>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</si>
  <si>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</si>
  <si>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</si>
  <si>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</si>
  <si>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</si>
  <si>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</si>
  <si>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</si>
  <si>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</si>
  <si>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</si>
  <si>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</si>
  <si>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</si>
  <si>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</si>
  <si>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</si>
  <si>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</si>
  <si>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</si>
  <si>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</si>
  <si>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</si>
  <si>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</si>
  <si>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</si>
  <si>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</si>
  <si>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</si>
  <si>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</si>
  <si>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</si>
  <si>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</si>
  <si>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</si>
  <si>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</si>
  <si>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</si>
  <si>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</si>
  <si>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</si>
  <si>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</si>
  <si>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</si>
  <si>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</si>
  <si>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</si>
  <si>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</si>
  <si>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</si>
  <si>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</si>
  <si>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</si>
  <si>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</si>
  <si>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</si>
  <si>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</si>
  <si>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</si>
  <si>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</si>
  <si>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</si>
  <si>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</si>
  <si>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</si>
  <si>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</si>
  <si>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</si>
  <si>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</si>
  <si>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</si>
  <si>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</si>
  <si>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</si>
  <si>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</si>
  <si>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</si>
  <si>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</si>
  <si>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</si>
  <si>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</si>
  <si>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</si>
  <si>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</si>
  <si>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</si>
  <si>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</si>
  <si>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</si>
  <si>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</si>
  <si>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</si>
  <si>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</si>
  <si>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</si>
  <si>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</si>
  <si>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</si>
  <si>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</si>
  <si>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</si>
  <si>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</si>
  <si>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</si>
  <si>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</si>
  <si>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</si>
  <si>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</si>
  <si>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</si>
  <si>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</si>
  <si>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</si>
  <si>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</si>
  <si>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</si>
  <si>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</si>
  <si>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</si>
  <si>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</si>
  <si>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</si>
  <si>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</si>
  <si>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</si>
  <si>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</si>
  <si>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</si>
  <si>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</si>
  <si>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</si>
  <si>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</si>
  <si>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</si>
  <si>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</si>
  <si>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</si>
  <si>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</si>
  <si>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</si>
  <si>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</si>
  <si>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</si>
  <si>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</si>
  <si>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</si>
  <si>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</si>
  <si>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</si>
  <si>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</si>
  <si>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</si>
  <si>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</si>
  <si>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</si>
  <si>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</si>
  <si>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</si>
  <si>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</si>
  <si>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</si>
  <si>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</si>
  <si>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</si>
  <si>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</si>
  <si>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</si>
  <si>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</si>
  <si>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</si>
  <si>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</si>
  <si>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</si>
  <si>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</si>
  <si>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</si>
  <si>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</si>
  <si>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</si>
  <si>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</si>
  <si>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</si>
  <si>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</si>
  <si>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</si>
  <si>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</si>
  <si>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</si>
  <si>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</si>
  <si>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</si>
  <si>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</si>
  <si>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</si>
  <si>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</si>
  <si>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</si>
  <si>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</si>
  <si>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</si>
  <si>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</si>
  <si>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</si>
  <si>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</si>
  <si>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</si>
  <si>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</si>
  <si>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</si>
  <si>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</si>
  <si>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</si>
  <si>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</si>
  <si>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</si>
  <si>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</si>
  <si>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</si>
  <si>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</si>
  <si>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</si>
  <si>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</si>
  <si>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</si>
  <si>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</si>
  <si>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</si>
  <si>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</si>
  <si>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</si>
  <si>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</si>
  <si>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</si>
  <si>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</si>
  <si>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</si>
  <si>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</si>
  <si>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</si>
  <si>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</si>
  <si>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</si>
  <si>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</si>
  <si>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</si>
  <si>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</si>
  <si>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</si>
  <si>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</si>
  <si>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</si>
  <si>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</si>
  <si>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</si>
  <si>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</si>
  <si>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</si>
  <si>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</si>
  <si>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</si>
  <si>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</si>
  <si>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</si>
  <si>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</si>
  <si>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</si>
  <si>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</si>
  <si>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</si>
  <si>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</si>
  <si>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</si>
  <si>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</si>
  <si>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</si>
  <si>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</si>
  <si>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</si>
  <si>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</si>
  <si>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</si>
  <si>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</si>
  <si>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</si>
  <si>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</si>
  <si>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</si>
  <si>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</si>
  <si>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</si>
  <si>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</si>
  <si>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</si>
  <si>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</si>
  <si>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</si>
  <si>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</si>
  <si>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</si>
  <si>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</si>
  <si>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</si>
  <si>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</si>
  <si>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</si>
  <si>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</si>
  <si>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</si>
  <si>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</si>
  <si>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</si>
  <si>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</si>
  <si>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</si>
  <si>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</si>
  <si>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</si>
  <si>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</si>
  <si>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</si>
  <si>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</si>
  <si>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</si>
  <si>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</si>
  <si>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</si>
  <si>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</si>
  <si>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</si>
  <si>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</si>
  <si>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</si>
  <si>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</si>
  <si>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</si>
  <si>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</si>
  <si>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</si>
  <si>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</si>
  <si>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</si>
  <si>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</si>
  <si>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</si>
  <si>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</si>
  <si>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</si>
  <si>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</si>
  <si>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</si>
  <si>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</si>
  <si>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</si>
  <si>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</si>
  <si>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</si>
  <si>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</si>
  <si>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</si>
  <si>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</si>
  <si>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</si>
  <si>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</si>
  <si>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</si>
  <si>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</si>
  <si>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</si>
  <si>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</si>
  <si>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</si>
  <si>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</si>
  <si>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</si>
  <si>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</si>
  <si>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</si>
  <si>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</si>
  <si>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</si>
  <si>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</si>
  <si>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</si>
  <si>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</si>
  <si>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</si>
  <si>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</si>
  <si>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</si>
  <si>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</si>
  <si>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</si>
  <si>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</si>
  <si>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</si>
  <si>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</si>
  <si>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</si>
  <si>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</si>
  <si>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</si>
  <si>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</si>
  <si>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</si>
  <si>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</si>
  <si>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</si>
  <si>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</si>
  <si>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</si>
  <si>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</si>
  <si>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</si>
  <si>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</si>
  <si>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</si>
  <si>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</si>
  <si>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</si>
  <si>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</si>
  <si>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</si>
  <si>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</si>
  <si>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</si>
  <si>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</si>
  <si>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</si>
  <si>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</si>
  <si>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</si>
  <si>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</si>
  <si>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</si>
  <si>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</si>
  <si>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</si>
  <si>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</si>
  <si>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</si>
  <si>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</si>
  <si>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</si>
  <si>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</si>
  <si>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</si>
  <si>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</si>
  <si>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</si>
  <si>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</si>
  <si>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</si>
  <si>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</si>
  <si>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</si>
  <si>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</si>
  <si>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</si>
  <si>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</si>
  <si>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</si>
  <si>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</si>
  <si>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</si>
  <si>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</si>
  <si>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</si>
  <si>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</si>
  <si>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</si>
  <si>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</si>
  <si>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</si>
  <si>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</si>
  <si>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</si>
  <si>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</si>
  <si>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</si>
  <si>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</si>
  <si>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</si>
  <si>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</si>
  <si>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</si>
  <si>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</si>
  <si>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</si>
  <si>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</si>
  <si>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</si>
  <si>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</si>
  <si>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</si>
  <si>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</si>
  <si>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</si>
  <si>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</si>
  <si>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</si>
  <si>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</si>
  <si>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</si>
  <si>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</si>
  <si>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</si>
  <si>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</si>
  <si>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</si>
  <si>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</si>
  <si>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</si>
  <si>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</si>
  <si>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</si>
  <si>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</si>
  <si>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</si>
  <si>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</si>
  <si>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</si>
  <si>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</si>
  <si>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</si>
  <si>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</si>
  <si>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</si>
  <si>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</si>
  <si>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</si>
  <si>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</si>
  <si>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</si>
  <si>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</si>
  <si>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</si>
  <si>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</si>
  <si>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</si>
  <si>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</si>
  <si>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</si>
  <si>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</si>
  <si>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</si>
  <si>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</si>
  <si>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</si>
  <si>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</si>
  <si>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</si>
  <si>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</si>
  <si>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</si>
  <si>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</si>
  <si>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</si>
  <si>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</si>
  <si>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</si>
  <si>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</si>
  <si>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</si>
  <si>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</si>
  <si>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</si>
  <si>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</si>
  <si>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</si>
  <si>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</si>
  <si>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</si>
  <si>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</si>
  <si>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</si>
  <si>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</si>
  <si>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</si>
  <si>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</si>
  <si>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</si>
  <si>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</si>
  <si>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</si>
  <si>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</si>
  <si>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</si>
  <si>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</si>
  <si>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</si>
  <si>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</si>
  <si>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</si>
  <si>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</si>
  <si>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</si>
  <si>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</si>
  <si>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</si>
  <si>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</si>
  <si>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</si>
  <si>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</si>
  <si>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</si>
  <si>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</si>
  <si>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</si>
  <si>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</si>
  <si>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</si>
  <si>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</si>
  <si>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</si>
  <si>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</si>
  <si>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</si>
  <si>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</si>
  <si>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</si>
  <si>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</si>
  <si>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</si>
  <si>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</si>
  <si>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</si>
  <si>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</si>
  <si>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</si>
  <si>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</si>
  <si>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</si>
  <si>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</si>
  <si>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</si>
  <si>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</si>
  <si>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</si>
  <si>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</si>
  <si>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</si>
  <si>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</si>
  <si>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</si>
  <si>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</si>
  <si>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</si>
  <si>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</si>
  <si>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</si>
  <si>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</si>
  <si>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</si>
  <si>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</si>
  <si>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</si>
  <si>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</si>
  <si>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</si>
  <si>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</si>
  <si>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</si>
  <si>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</si>
  <si>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</si>
  <si>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</si>
  <si>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</si>
  <si>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</si>
  <si>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</si>
  <si>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</si>
  <si>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</si>
  <si>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</si>
  <si>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</si>
  <si>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</si>
  <si>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</si>
  <si>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</si>
  <si>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</si>
  <si>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</si>
  <si>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</si>
  <si>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</si>
  <si>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</si>
  <si>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</si>
  <si>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</si>
  <si>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</si>
  <si>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</si>
  <si>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</si>
  <si>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</si>
  <si>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</si>
  <si>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</si>
  <si>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</si>
  <si>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</si>
  <si>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</si>
  <si>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</si>
  <si>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</si>
  <si>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</si>
  <si>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</si>
  <si>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</si>
  <si>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</si>
  <si>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</si>
  <si>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</si>
  <si>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</si>
  <si>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</si>
  <si>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</si>
  <si>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</si>
  <si>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</si>
  <si>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</si>
  <si>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</si>
  <si>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</si>
  <si>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</si>
  <si>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</si>
  <si>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</si>
  <si>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</si>
  <si>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</si>
  <si>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</si>
  <si>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</si>
  <si>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</si>
  <si>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</si>
  <si>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</si>
  <si>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</si>
  <si>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</si>
  <si>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</si>
  <si>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</si>
  <si>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</si>
  <si>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</si>
  <si>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</si>
  <si>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</si>
  <si>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</si>
  <si>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</si>
  <si>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</si>
  <si>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</si>
  <si>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</si>
  <si>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</si>
  <si>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</si>
  <si>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</si>
  <si>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</si>
  <si>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</si>
  <si>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</si>
  <si>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</si>
  <si>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</si>
  <si>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</si>
  <si>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</si>
  <si>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</si>
  <si>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</si>
  <si>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</si>
  <si>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</si>
  <si>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</si>
  <si>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</si>
  <si>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</si>
  <si>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</si>
  <si>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</si>
  <si>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</si>
  <si>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</si>
  <si>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</si>
  <si>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</si>
  <si>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</si>
  <si>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</si>
  <si>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</si>
  <si>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</si>
  <si>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</si>
  <si>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</si>
  <si>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</si>
  <si>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</si>
  <si>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</si>
  <si>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</si>
  <si>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</si>
  <si>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</si>
  <si>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</si>
  <si>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</si>
  <si>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</si>
  <si>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</si>
  <si>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</si>
  <si>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</si>
  <si>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</si>
  <si>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</si>
  <si>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</si>
  <si>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</si>
  <si>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</si>
  <si>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</si>
  <si>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</si>
  <si>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</si>
  <si>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</si>
  <si>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</si>
  <si>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</si>
  <si>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</si>
  <si>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</si>
  <si>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</si>
  <si>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</si>
  <si>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</si>
  <si>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</si>
  <si>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</si>
  <si>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</si>
  <si>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</si>
  <si>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</si>
  <si>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</si>
  <si>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</si>
  <si>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</si>
  <si>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</si>
  <si>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</si>
  <si>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</si>
  <si>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</si>
  <si>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</si>
  <si>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</si>
  <si>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</si>
  <si>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</si>
  <si>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</si>
  <si>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</si>
  <si>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</si>
  <si>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</si>
  <si>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</si>
  <si>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</si>
  <si>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</si>
  <si>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</si>
  <si>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</si>
  <si>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</si>
  <si>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</si>
  <si>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</si>
  <si>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</si>
  <si>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</si>
  <si>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</si>
  <si>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</si>
  <si>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</si>
  <si>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</si>
  <si>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</si>
  <si>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</si>
  <si>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</si>
  <si>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</si>
  <si>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</si>
  <si>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</si>
  <si>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</si>
  <si>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</si>
  <si>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</si>
  <si>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</si>
  <si>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</si>
  <si>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</si>
  <si>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</si>
  <si>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</si>
  <si>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</si>
  <si>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</si>
  <si>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</si>
  <si>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</si>
  <si>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</si>
  <si>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</si>
  <si>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</si>
  <si>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</si>
  <si>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</si>
  <si>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</si>
  <si>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</si>
  <si>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</si>
  <si>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</si>
  <si>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</si>
  <si>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</si>
  <si>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</si>
  <si>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</si>
  <si>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</si>
  <si>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</si>
  <si>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</si>
  <si>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</si>
  <si>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</si>
  <si>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</si>
  <si>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</si>
  <si>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</si>
  <si>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</si>
  <si>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</si>
  <si>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</si>
  <si>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</si>
  <si>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</si>
  <si>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</si>
  <si>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</si>
  <si>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</si>
  <si>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</si>
  <si>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</si>
  <si>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</si>
  <si>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</si>
  <si>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</si>
  <si>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</si>
  <si>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</si>
  <si>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</si>
  <si>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</si>
  <si>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</si>
  <si>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</si>
  <si>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</si>
  <si>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</si>
  <si>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</si>
  <si>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</si>
  <si>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</si>
  <si>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</si>
  <si>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</si>
  <si>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</si>
  <si>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</si>
  <si>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</si>
  <si>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</si>
  <si>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</si>
  <si>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</si>
  <si>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</si>
  <si>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</si>
  <si>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</si>
  <si>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</si>
  <si>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</si>
  <si>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</si>
  <si>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</si>
  <si>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</si>
  <si>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</si>
  <si>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</si>
  <si>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</si>
  <si>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</si>
  <si>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</si>
  <si>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</si>
  <si>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</si>
  <si>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</si>
  <si>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</si>
  <si>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</si>
  <si>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</si>
  <si>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</si>
  <si>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</si>
  <si>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</si>
  <si>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</si>
  <si>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</si>
  <si>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</si>
  <si>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</si>
  <si>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</si>
  <si>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</si>
  <si>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</si>
  <si>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</si>
  <si>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</si>
  <si>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</si>
  <si>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</si>
  <si>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</si>
  <si>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</si>
  <si>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</si>
  <si>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</si>
  <si>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</si>
  <si>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</si>
  <si>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</si>
  <si>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</si>
  <si>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</si>
  <si>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</si>
  <si>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</si>
  <si>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</si>
  <si>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</si>
  <si>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</si>
  <si>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</si>
  <si>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</si>
  <si>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</si>
  <si>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</si>
  <si>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</si>
  <si>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</si>
  <si>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</si>
  <si>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</si>
  <si>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</si>
  <si>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</si>
  <si>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</si>
  <si>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</si>
  <si>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</si>
  <si>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</si>
  <si>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</si>
  <si>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</si>
  <si>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</si>
  <si>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</si>
  <si>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</si>
  <si>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</si>
  <si>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</si>
  <si>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</si>
  <si>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</si>
  <si>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</si>
  <si>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</si>
  <si>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</si>
  <si>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</si>
  <si>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</si>
  <si>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</si>
  <si>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</si>
  <si>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</si>
  <si>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</si>
  <si>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</si>
  <si>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</si>
  <si>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</si>
  <si>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</si>
  <si>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</si>
  <si>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</si>
  <si>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</si>
  <si>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</si>
  <si>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</si>
  <si>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</si>
  <si>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</si>
  <si>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</si>
  <si>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</si>
  <si>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</si>
  <si>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</si>
  <si>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</si>
  <si>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</si>
  <si>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</si>
  <si>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</si>
  <si>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</si>
  <si>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</si>
  <si>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</si>
  <si>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</si>
  <si>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</si>
  <si>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</si>
  <si>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</si>
  <si>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</si>
  <si>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</si>
  <si>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</si>
  <si>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</si>
  <si>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</si>
  <si>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</si>
  <si>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</si>
  <si>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</si>
  <si>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</si>
  <si>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</si>
  <si>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</si>
  <si>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</si>
  <si>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</si>
  <si>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</si>
  <si>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</si>
  <si>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</si>
  <si>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</si>
  <si>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</si>
  <si>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</si>
  <si>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</si>
  <si>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</si>
  <si>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</si>
  <si>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</si>
  <si>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</si>
  <si>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</si>
  <si>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</si>
  <si>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</si>
  <si>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</si>
  <si>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</si>
  <si>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</si>
  <si>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</si>
  <si>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</si>
  <si>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</si>
  <si>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</si>
  <si>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</si>
  <si>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</si>
  <si>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</si>
  <si>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</si>
  <si>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</si>
  <si>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</si>
  <si>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</si>
  <si>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</si>
  <si>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</si>
  <si>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</si>
  <si>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</si>
  <si>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</si>
  <si>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</si>
  <si>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</si>
  <si>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</si>
  <si>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</si>
  <si>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</si>
  <si>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</si>
  <si>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</si>
  <si>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</si>
  <si>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</si>
  <si>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</si>
  <si>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</si>
  <si>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</si>
  <si>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</si>
  <si>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</si>
  <si>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</si>
  <si>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</si>
  <si>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</si>
  <si>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</si>
  <si>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</si>
  <si>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</si>
  <si>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</si>
  <si>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</si>
  <si>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</si>
  <si>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</si>
  <si>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</si>
  <si>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</si>
  <si>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</si>
  <si>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</si>
  <si>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</si>
  <si>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</si>
  <si>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</si>
  <si>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</si>
  <si>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</si>
  <si>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</si>
  <si>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</si>
  <si>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</si>
  <si>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</si>
  <si>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</si>
  <si>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</si>
  <si>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</si>
  <si>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</si>
  <si>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</si>
  <si>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</si>
  <si>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</si>
  <si>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</si>
  <si>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</si>
  <si>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</si>
  <si>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</si>
  <si>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</si>
  <si>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</si>
  <si>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</si>
  <si>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</si>
  <si>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</si>
  <si>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</si>
  <si>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</si>
  <si>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</si>
  <si>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</si>
  <si>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</si>
  <si>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</si>
  <si>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</si>
  <si>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</si>
  <si>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</si>
  <si>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</si>
  <si>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</si>
  <si>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</si>
  <si>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</si>
  <si>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</si>
  <si>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</si>
  <si>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</si>
  <si>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</si>
  <si>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</si>
  <si>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</si>
  <si>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</si>
  <si>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</si>
  <si>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</si>
  <si>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</si>
  <si>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</si>
  <si>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</si>
  <si>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</si>
  <si>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</si>
  <si>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</si>
  <si>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</si>
  <si>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</si>
  <si>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</si>
  <si>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</si>
  <si>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</si>
  <si>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</si>
  <si>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</si>
  <si>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</si>
  <si>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</si>
  <si>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</si>
  <si>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</si>
  <si>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</si>
  <si>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</si>
  <si>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</si>
  <si>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</si>
  <si>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</si>
  <si>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</si>
  <si>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</si>
  <si>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</si>
  <si>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</si>
  <si>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</si>
  <si>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</si>
  <si>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</si>
  <si>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</si>
  <si>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</si>
  <si>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</si>
  <si>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</si>
  <si>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</si>
  <si>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</si>
  <si>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</si>
  <si>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</si>
  <si>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</si>
  <si>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</si>
  <si>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</si>
  <si>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</si>
  <si>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</si>
  <si>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</si>
  <si>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</si>
  <si>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</si>
  <si>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</si>
  <si>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</si>
  <si>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</si>
  <si>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</si>
  <si>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</si>
  <si>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</si>
  <si>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</si>
  <si>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</si>
  <si>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</si>
  <si>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</si>
  <si>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</si>
  <si>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</si>
  <si>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</si>
  <si>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</si>
  <si>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</si>
  <si>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</si>
  <si>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</si>
  <si>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</si>
  <si>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</si>
  <si>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</si>
  <si>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</si>
  <si>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</si>
  <si>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</si>
  <si>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</si>
  <si>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</si>
  <si>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</si>
  <si>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</si>
  <si>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</si>
  <si>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</si>
  <si>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</si>
  <si>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</si>
  <si>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</si>
  <si>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</si>
  <si>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</si>
  <si>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</si>
  <si>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</si>
  <si>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</si>
  <si>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</si>
  <si>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</si>
  <si>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</si>
  <si>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</si>
  <si>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</si>
  <si>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</si>
  <si>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</si>
  <si>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</si>
  <si>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</si>
  <si>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</si>
  <si>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</si>
  <si>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</si>
  <si>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</si>
  <si>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</si>
  <si>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</si>
  <si>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</si>
  <si>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</si>
  <si>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</si>
  <si>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</si>
  <si>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</si>
  <si>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</si>
  <si>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</si>
  <si>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</si>
  <si>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</si>
  <si>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</si>
  <si>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</si>
  <si>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</si>
  <si>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</si>
  <si>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</si>
  <si>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</si>
  <si>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</si>
  <si>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</si>
  <si>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</si>
  <si>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</si>
  <si>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</si>
  <si>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</si>
  <si>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</si>
  <si>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</si>
  <si>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</si>
  <si>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</si>
  <si>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</si>
  <si>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</si>
  <si>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</si>
  <si>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</si>
  <si>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</si>
  <si>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</si>
  <si>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</si>
  <si>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</si>
  <si>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</si>
  <si>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</si>
  <si>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</si>
  <si>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</si>
  <si>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</si>
  <si>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</si>
  <si>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</si>
  <si>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</si>
  <si>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</si>
  <si>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</si>
  <si>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</si>
  <si>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</si>
  <si>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</si>
  <si>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</si>
  <si>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</si>
  <si>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</si>
  <si>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</si>
  <si>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</si>
  <si>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</si>
  <si>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</si>
  <si>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</si>
  <si>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</si>
  <si>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</si>
  <si>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</si>
  <si>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</si>
  <si>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</si>
  <si>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</si>
  <si>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</si>
  <si>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</si>
  <si>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</si>
  <si>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</si>
  <si>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</si>
  <si>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</si>
  <si>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</si>
  <si>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</si>
  <si>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</si>
  <si>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</si>
  <si>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</si>
  <si>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</si>
  <si>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</si>
  <si>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</si>
  <si>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</si>
  <si>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</si>
  <si>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</si>
  <si>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</si>
  <si>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</si>
  <si>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</si>
  <si>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</si>
  <si>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</si>
  <si>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</si>
  <si>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</si>
  <si>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</si>
  <si>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</si>
  <si>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</si>
  <si>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</si>
  <si>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</si>
  <si>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</si>
  <si>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</si>
  <si>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</si>
  <si>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</si>
  <si>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</si>
  <si>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</si>
  <si>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</si>
  <si>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</si>
  <si>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</si>
  <si>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</si>
  <si>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</si>
  <si>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</si>
  <si>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</si>
  <si>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</si>
  <si>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</si>
  <si>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</si>
  <si>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</si>
  <si>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</si>
  <si>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</si>
  <si>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</si>
  <si>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</si>
  <si>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</si>
  <si>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</si>
  <si>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</si>
  <si>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</si>
  <si>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</si>
  <si>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</si>
  <si>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</si>
  <si>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</si>
  <si>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</si>
  <si>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</si>
  <si>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</si>
  <si>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</si>
  <si>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</si>
  <si>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</si>
  <si>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</si>
  <si>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</si>
  <si>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</si>
  <si>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</si>
  <si>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</si>
  <si>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</si>
  <si>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</si>
  <si>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</si>
  <si>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</si>
  <si>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</si>
  <si>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</si>
  <si>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</si>
  <si>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</si>
  <si>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</si>
  <si>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</si>
  <si>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</si>
  <si>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</si>
  <si>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</si>
  <si>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</si>
  <si>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</si>
  <si>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</si>
  <si>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</si>
  <si>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</si>
  <si>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</si>
  <si>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</si>
  <si>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</si>
  <si>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</si>
  <si>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</si>
  <si>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</si>
  <si>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</si>
  <si>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</si>
  <si>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</si>
  <si>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</si>
  <si>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</si>
  <si>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</si>
  <si>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</si>
  <si>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</si>
  <si>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</si>
  <si>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</si>
  <si>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</si>
  <si>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</si>
  <si>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</si>
  <si>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</si>
  <si>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</si>
  <si>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</si>
  <si>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</si>
  <si>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</si>
  <si>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</si>
  <si>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</si>
  <si>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</si>
  <si>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</si>
  <si>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</si>
  <si>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</si>
  <si>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</si>
  <si>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</si>
  <si>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</si>
  <si>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</si>
  <si>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</si>
  <si>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</si>
  <si>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</si>
  <si>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</si>
  <si>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</si>
  <si>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</si>
  <si>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</si>
  <si>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</si>
  <si>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</si>
  <si>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</si>
  <si>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</si>
  <si>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</si>
  <si>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</si>
  <si>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</si>
  <si>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</si>
  <si>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</si>
  <si>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</si>
  <si>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</si>
  <si>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</si>
  <si>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</si>
  <si>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</si>
  <si>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</si>
  <si>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</si>
  <si>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</si>
  <si>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</si>
  <si>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</si>
  <si>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</si>
  <si>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</si>
  <si>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</si>
  <si>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</si>
  <si>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</si>
  <si>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</si>
  <si>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</si>
  <si>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</si>
  <si>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</si>
  <si>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</si>
  <si>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</si>
  <si>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</si>
  <si>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</si>
  <si>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</si>
  <si>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</si>
  <si>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</si>
  <si>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</si>
  <si>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</si>
  <si>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</si>
  <si>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</si>
  <si>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</si>
  <si>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</si>
  <si>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</si>
  <si>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</si>
  <si>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</si>
  <si>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</si>
  <si>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</si>
  <si>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</si>
  <si>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</si>
  <si>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</si>
  <si>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</si>
  <si>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</si>
  <si>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</si>
  <si>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</si>
  <si>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</si>
  <si>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</si>
  <si>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</si>
  <si>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</si>
  <si>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</si>
  <si>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</si>
  <si>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</si>
  <si>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</si>
  <si>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</si>
  <si>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</si>
  <si>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</si>
  <si>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</si>
  <si>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</si>
  <si>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</si>
  <si>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</si>
  <si>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</si>
  <si>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</si>
  <si>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</si>
  <si>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</si>
  <si>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</si>
  <si>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</si>
  <si>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</si>
  <si>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</si>
  <si>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</si>
  <si>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</si>
  <si>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</si>
  <si>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</si>
  <si>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</si>
  <si>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</si>
  <si>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</si>
  <si>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</si>
  <si>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</si>
  <si>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</si>
  <si>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</si>
  <si>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</si>
  <si>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</si>
  <si>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</si>
  <si>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</si>
  <si>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</si>
  <si>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</si>
  <si>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</si>
  <si>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</si>
  <si>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</si>
  <si>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</si>
  <si>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</si>
  <si>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</si>
  <si>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</si>
  <si>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</si>
  <si>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</si>
  <si>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</si>
  <si>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</si>
  <si>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</si>
  <si>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</si>
  <si>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</si>
  <si>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</si>
  <si>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</si>
  <si>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</si>
  <si>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</si>
  <si>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</si>
  <si>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</si>
  <si>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</si>
  <si>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</si>
  <si>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</si>
  <si>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</si>
  <si>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</si>
  <si>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</si>
  <si>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</si>
  <si>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</si>
  <si>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</si>
  <si>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</si>
  <si>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</si>
  <si>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</si>
  <si>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</si>
  <si>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</si>
  <si>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</si>
  <si>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</si>
  <si>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</si>
  <si>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</si>
  <si>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</si>
  <si>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</si>
  <si>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</si>
  <si>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</si>
  <si>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</si>
  <si>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</si>
  <si>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</si>
  <si>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</si>
  <si>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</si>
  <si>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</si>
  <si>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</si>
  <si>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</si>
  <si>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</si>
  <si>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</si>
  <si>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</si>
  <si>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</si>
  <si>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</si>
  <si>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</si>
  <si>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</si>
  <si>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</si>
  <si>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</si>
  <si>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</si>
  <si>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</si>
  <si>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</si>
  <si>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</si>
  <si>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</si>
  <si>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</si>
  <si>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</si>
  <si>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</si>
  <si>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</si>
  <si>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</si>
  <si>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</si>
  <si>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</si>
  <si>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</si>
  <si>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</si>
  <si>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</si>
  <si>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</si>
  <si>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</si>
  <si>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</si>
  <si>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</si>
  <si>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</si>
  <si>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</si>
  <si>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</si>
  <si>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</si>
  <si>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</si>
  <si>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</si>
  <si>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</si>
  <si>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</si>
  <si>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</si>
  <si>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</si>
  <si>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</si>
  <si>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</si>
  <si>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</si>
  <si>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</si>
  <si>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</si>
  <si>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</si>
  <si>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</si>
  <si>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</si>
  <si>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</si>
  <si>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</si>
  <si>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</si>
  <si>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</si>
  <si>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</si>
  <si>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</si>
  <si>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</si>
  <si>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</si>
  <si>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</si>
  <si>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</si>
  <si>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</si>
  <si>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</si>
  <si>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</si>
  <si>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</si>
  <si>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</si>
  <si>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</si>
  <si>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</si>
  <si>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</si>
  <si>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</si>
  <si>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</si>
  <si>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</si>
  <si>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</si>
  <si>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</si>
  <si>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</si>
  <si>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</si>
  <si>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</si>
  <si>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</si>
  <si>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</si>
  <si>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</si>
  <si>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</si>
  <si>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</si>
  <si>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</si>
  <si>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</si>
  <si>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</si>
  <si>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</si>
  <si>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</si>
  <si>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</si>
  <si>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</si>
  <si>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</si>
  <si>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</si>
  <si>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</si>
  <si>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</si>
  <si>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</si>
  <si>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</si>
  <si>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</si>
  <si>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</si>
  <si>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</si>
  <si>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</si>
  <si>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</si>
  <si>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</si>
  <si>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</si>
  <si>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</si>
  <si>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</si>
  <si>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</si>
  <si>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</si>
  <si>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</si>
  <si>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</si>
  <si>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</si>
  <si>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</si>
  <si>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</si>
  <si>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</si>
  <si>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</si>
  <si>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</si>
  <si>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</si>
  <si>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</si>
  <si>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</si>
  <si>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</si>
  <si>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</si>
  <si>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</si>
  <si>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</si>
  <si>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</si>
  <si>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</si>
  <si>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</si>
  <si>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</si>
  <si>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</si>
  <si>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</si>
  <si>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</si>
  <si>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</si>
  <si>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</si>
  <si>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</si>
  <si>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</si>
  <si>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</si>
  <si>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</si>
  <si>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</si>
  <si>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</si>
  <si>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</si>
  <si>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</si>
  <si>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</si>
  <si>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</si>
  <si>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</si>
  <si>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</si>
  <si>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</si>
  <si>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</si>
  <si>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表示名</t>
    <rPh sb="0" eb="2">
      <t>ヒョウジ</t>
    </rPh>
    <rPh sb="2" eb="3">
      <t>メイ</t>
    </rPh>
    <phoneticPr fontId="0"/>
  </si>
  <si>
    <t>disp_name</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</si>
  <si>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</si>
  <si>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</si>
  <si>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</si>
  <si>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</si>
  <si>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</si>
  <si>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</si>
  <si>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</si>
  <si>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</si>
  <si>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</si>
  <si>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</si>
  <si>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</si>
  <si>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</si>
  <si>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</si>
  <si>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</si>
  <si>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</si>
  <si>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</si>
  <si>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</si>
  <si>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</si>
  <si>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</si>
  <si>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</si>
  <si>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</si>
  <si>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</si>
  <si>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</si>
  <si>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</si>
  <si>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</si>
  <si>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</si>
  <si>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</si>
  <si>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</si>
  <si>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</si>
  <si>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</si>
  <si>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</si>
  <si>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</si>
  <si>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</si>
  <si>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</si>
  <si>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</si>
  <si>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</si>
  <si>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</si>
  <si>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</si>
  <si>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</si>
  <si>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</si>
  <si>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</si>
  <si>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</si>
  <si>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</si>
  <si>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</si>
  <si>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</si>
  <si>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</si>
  <si>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</si>
  <si>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</si>
  <si>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</si>
  <si>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</si>
  <si>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</si>
  <si>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</si>
  <si>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</si>
  <si>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</si>
  <si>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</si>
  <si>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</si>
  <si>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</si>
  <si>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</si>
  <si>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</si>
  <si>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</si>
  <si>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</si>
  <si>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</si>
  <si>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</si>
  <si>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</si>
  <si>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</si>
  <si>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</si>
  <si>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</si>
  <si>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</si>
  <si>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</si>
  <si>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</si>
  <si>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</si>
  <si>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</si>
  <si>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</si>
  <si>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</si>
  <si>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</si>
  <si>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</si>
  <si>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</si>
  <si>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</si>
  <si>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</si>
  <si>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</si>
  <si>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</si>
  <si>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</si>
  <si>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</si>
  <si>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</si>
  <si>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</si>
  <si>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</si>
  <si>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</si>
  <si>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</si>
  <si>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</si>
  <si>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</si>
  <si>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</si>
  <si>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</si>
  <si>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</si>
  <si>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</si>
  <si>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</si>
  <si>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</si>
  <si>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</si>
  <si>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</si>
  <si>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</si>
  <si>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</si>
  <si>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</si>
  <si>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</si>
  <si>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</si>
  <si>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</si>
  <si>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</si>
  <si>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</si>
  <si>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</si>
  <si>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</si>
  <si>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</si>
  <si>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</si>
  <si>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</si>
  <si>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</si>
  <si>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</si>
  <si>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</si>
  <si>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</si>
  <si>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</si>
  <si>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</si>
  <si>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</si>
  <si>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</si>
  <si>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</si>
  <si>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</si>
  <si>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</si>
  <si>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</si>
  <si>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</si>
  <si>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</si>
  <si>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</si>
  <si>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</si>
  <si>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</si>
  <si>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</si>
  <si>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</si>
  <si>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</si>
  <si>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</si>
  <si>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</si>
  <si>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</si>
  <si>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</si>
  <si>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</si>
  <si>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</si>
  <si>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</si>
  <si>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</si>
  <si>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</si>
  <si>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</si>
  <si>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</si>
  <si>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</si>
  <si>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</si>
  <si>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</si>
  <si>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</si>
  <si>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</si>
  <si>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</si>
  <si>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</si>
  <si>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</si>
  <si>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</si>
  <si>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</si>
  <si>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</si>
  <si>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</si>
  <si>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</si>
  <si>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</si>
  <si>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</si>
  <si>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</si>
  <si>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</si>
  <si>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</si>
  <si>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</si>
  <si>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</si>
  <si>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</si>
  <si>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</si>
  <si>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</si>
  <si>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</si>
  <si>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</si>
  <si>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</si>
  <si>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</si>
  <si>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</si>
  <si>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</si>
  <si>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</si>
  <si>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</si>
  <si>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</si>
  <si>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</si>
  <si>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</si>
  <si>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</si>
  <si>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</si>
  <si>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</si>
  <si>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</si>
  <si>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</si>
  <si>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</si>
  <si>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</si>
  <si>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</si>
  <si>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</si>
  <si>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</si>
  <si>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</si>
  <si>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</si>
  <si>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</si>
  <si>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</si>
  <si>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</si>
  <si>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</si>
  <si>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</si>
  <si>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</si>
  <si>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</si>
  <si>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</si>
  <si>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</si>
  <si>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</si>
  <si>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</si>
  <si>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</si>
  <si>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</si>
  <si>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</si>
  <si>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</si>
  <si>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</si>
  <si>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</si>
  <si>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</si>
  <si>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</si>
  <si>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31_A6-18</t>
    <phoneticPr fontId="8"/>
  </si>
  <si>
    <t>バックアップ_MML_検歴情報モジュール_本文</t>
    <phoneticPr fontId="11"/>
  </si>
  <si>
    <t>31_A6-19</t>
    <phoneticPr fontId="8"/>
  </si>
  <si>
    <t>バックアップ_MML_検歴情報モジュール_報告コメント</t>
    <phoneticPr fontId="11"/>
  </si>
  <si>
    <t>31_A6-20</t>
    <phoneticPr fontId="8"/>
  </si>
  <si>
    <t>バックアップ_MML_検歴情報モジュール_検体検査結果情報</t>
    <phoneticPr fontId="11"/>
  </si>
  <si>
    <t>31_A6-21</t>
    <phoneticPr fontId="8"/>
  </si>
  <si>
    <t>バックアップ_MML_検歴情報モジュール_検体コメント</t>
    <phoneticPr fontId="11"/>
  </si>
  <si>
    <t>31_A6-22</t>
    <phoneticPr fontId="8"/>
  </si>
  <si>
    <t>バックアップ_MML_検歴情報モジュール_検査項目</t>
    <phoneticPr fontId="11"/>
  </si>
  <si>
    <t>31_A6-23</t>
    <phoneticPr fontId="8"/>
  </si>
  <si>
    <t>バックアップ_MML_検歴情報モジュール_検査項目コメント</t>
    <phoneticPr fontId="11"/>
  </si>
  <si>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</si>
  <si>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</si>
  <si>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</si>
  <si>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</si>
  <si>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</si>
  <si>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</si>
  <si>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11_01-01</t>
    <phoneticPr fontId="8"/>
  </si>
  <si>
    <t>usage_start</t>
    <phoneticPr fontId="8"/>
  </si>
  <si>
    <t>usage_end</t>
    <phoneticPr fontId="8"/>
  </si>
  <si>
    <t>※【要件定義書】サノフィ様_MM.xlsx参照</t>
    <rPh sb="21" eb="23">
      <t>サンショウ</t>
    </rPh>
    <phoneticPr fontId="8"/>
  </si>
  <si>
    <t>11_05-01</t>
    <phoneticPr fontId="8"/>
  </si>
  <si>
    <t>組入れ_対象検体検査_対象患者</t>
    <rPh sb="4" eb="6">
      <t>タイショウ</t>
    </rPh>
    <rPh sb="6" eb="10">
      <t>ケンタイケンサ</t>
    </rPh>
    <rPh sb="11" eb="13">
      <t>タイショウ</t>
    </rPh>
    <rPh sb="13" eb="15">
      <t>カンジャ</t>
    </rPh>
    <phoneticPr fontId="8"/>
  </si>
  <si>
    <t>組入れ_対象検体検査_対象患者</t>
    <rPh sb="11" eb="15">
      <t>タイショウカンジャ</t>
    </rPh>
    <phoneticPr fontId="8"/>
  </si>
  <si>
    <t>組入れ_対象検体検査_対象患者</t>
    <phoneticPr fontId="8"/>
  </si>
  <si>
    <t>検査データのテーブルから組入れ条件（対象期間、表示名の種類）で絞り込んだ結果を登録するテーブル</t>
    <rPh sb="0" eb="2">
      <t>ケンサ</t>
    </rPh>
    <rPh sb="18" eb="22">
      <t>タイショウキカン</t>
    </rPh>
    <rPh sb="23" eb="26">
      <t>ヒョウジメイ</t>
    </rPh>
    <rPh sb="27" eb="29">
      <t>シュルイ</t>
    </rPh>
    <phoneticPr fontId="8"/>
  </si>
  <si>
    <t>日付</t>
    <rPh sb="0" eb="2">
      <t>ヒヅケ</t>
    </rPh>
    <phoneticPr fontId="1"/>
  </si>
  <si>
    <t>ENT_31_A1-02</t>
    <phoneticPr fontId="8"/>
  </si>
  <si>
    <t>ENT_31_A1-03</t>
    <phoneticPr fontId="8"/>
  </si>
  <si>
    <t>ENT_31_A1-06</t>
    <phoneticPr fontId="8"/>
  </si>
  <si>
    <t>ENT_31_A1-14</t>
    <phoneticPr fontId="8"/>
  </si>
  <si>
    <t>ENT_31_A6-02</t>
    <phoneticPr fontId="8"/>
  </si>
  <si>
    <t>ENT_31_A6-03</t>
    <phoneticPr fontId="8"/>
  </si>
  <si>
    <t>ENT_31_A6-04</t>
    <phoneticPr fontId="8"/>
  </si>
  <si>
    <t>ENT_31_A6-24</t>
    <phoneticPr fontId="8"/>
  </si>
  <si>
    <t>ENT_31_A6-25</t>
    <phoneticPr fontId="8"/>
  </si>
  <si>
    <t>ENT_31_A6-26</t>
    <phoneticPr fontId="8"/>
  </si>
  <si>
    <t>ENT_31_C1-02</t>
    <phoneticPr fontId="8"/>
  </si>
  <si>
    <t>ENT_31_C1-03</t>
    <phoneticPr fontId="8"/>
  </si>
  <si>
    <t>ENT_31_C1-05</t>
    <phoneticPr fontId="8"/>
  </si>
  <si>
    <t>ENT_31_C1-07</t>
    <phoneticPr fontId="8"/>
  </si>
  <si>
    <t>ENT_31_C1-08</t>
    <phoneticPr fontId="8"/>
  </si>
  <si>
    <t>ENT_31_C4-03</t>
    <phoneticPr fontId="8"/>
  </si>
  <si>
    <t>ENT_31_C4-04</t>
    <phoneticPr fontId="8"/>
  </si>
  <si>
    <t>ENT_31_C4-06</t>
    <phoneticPr fontId="8"/>
  </si>
  <si>
    <t>ENT_31_C4-07</t>
    <phoneticPr fontId="8"/>
  </si>
  <si>
    <t>ENT_31_C4-08</t>
    <phoneticPr fontId="8"/>
  </si>
  <si>
    <t>ENT_31_C4-15</t>
    <phoneticPr fontId="8"/>
  </si>
  <si>
    <t>ENT_31_C4-22</t>
    <phoneticPr fontId="8"/>
  </si>
  <si>
    <t>ENT_31_C4-23</t>
    <phoneticPr fontId="8"/>
  </si>
  <si>
    <t>ENT_31_C4-24</t>
    <phoneticPr fontId="8"/>
  </si>
  <si>
    <t>ENT_31_C4-25</t>
    <phoneticPr fontId="8"/>
  </si>
  <si>
    <t>ENT_31_C4-29</t>
    <phoneticPr fontId="8"/>
  </si>
  <si>
    <t>ENT_31_C4-30</t>
    <phoneticPr fontId="8"/>
  </si>
  <si>
    <t>ENT_31_C4-31</t>
    <phoneticPr fontId="8"/>
  </si>
  <si>
    <t>ENT_31_C4-33</t>
    <phoneticPr fontId="8"/>
  </si>
  <si>
    <t>ENT_31_C4-35</t>
    <phoneticPr fontId="8"/>
  </si>
  <si>
    <t>ENT_31_A6-18</t>
    <phoneticPr fontId="8"/>
  </si>
  <si>
    <t>ENT_31_A6-19</t>
    <phoneticPr fontId="8"/>
  </si>
  <si>
    <t>ENT_31_A6-20</t>
    <phoneticPr fontId="8"/>
  </si>
  <si>
    <t>ENT_31_A6-21</t>
    <phoneticPr fontId="8"/>
  </si>
  <si>
    <t>ENT_31_A6-22</t>
    <phoneticPr fontId="8"/>
  </si>
  <si>
    <t>ENT_31_A6-23</t>
    <phoneticPr fontId="8"/>
  </si>
  <si>
    <t>YYYYMM形式</t>
    <rPh sb="6" eb="8">
      <t>ケイシキ</t>
    </rPh>
    <phoneticPr fontId="8"/>
  </si>
  <si>
    <t>データ利用開始年月</t>
    <rPh sb="3" eb="5">
      <t>リヨウ</t>
    </rPh>
    <rPh sb="7" eb="9">
      <t>ネンゲツ</t>
    </rPh>
    <phoneticPr fontId="18"/>
  </si>
  <si>
    <t>データ利用終了年月</t>
    <rPh sb="3" eb="5">
      <t>リヨウ</t>
    </rPh>
    <rPh sb="5" eb="7">
      <t>シュウリョウ</t>
    </rPh>
    <rPh sb="7" eb="9">
      <t>ネンゲツ</t>
    </rPh>
    <phoneticPr fontId="18"/>
  </si>
  <si>
    <t>組入れ_対象施設のデータ利用開始年月、データ利用終了年月の値を更新する。</t>
    <rPh sb="12" eb="14">
      <t>リヨウ</t>
    </rPh>
    <rPh sb="14" eb="16">
      <t>カイシ</t>
    </rPh>
    <rPh sb="16" eb="18">
      <t>ネンゲツ</t>
    </rPh>
    <rPh sb="29" eb="30">
      <t>アタイ</t>
    </rPh>
    <phoneticPr fontId="8"/>
  </si>
  <si>
    <t>検体検査マスタ</t>
    <phoneticPr fontId="8"/>
  </si>
  <si>
    <t>施設マスクID</t>
  </si>
  <si>
    <t>facility_mask_id</t>
  </si>
  <si>
    <t>組入れ_対象施設テーブルに施設マスクIDを付与した結果を格納するテーブル</t>
    <phoneticPr fontId="8"/>
  </si>
  <si>
    <t>患者ID一覧マスタテーブルを施設IDと紐づけIDで集約し、マスクIDを付与した結果を格納するテーブル</t>
    <phoneticPr fontId="8"/>
  </si>
  <si>
    <t>マスクID</t>
  </si>
  <si>
    <t>mask_id</t>
  </si>
  <si>
    <t>紐付けID</t>
    <rPh sb="0" eb="1">
      <t>ヒモ</t>
    </rPh>
    <rPh sb="1" eb="2">
      <t>ヅ</t>
    </rPh>
    <phoneticPr fontId="29"/>
  </si>
  <si>
    <t>施設マスクID+紐づけIDの連番（4桁のゼロ埋め）</t>
    <rPh sb="8" eb="9">
      <t>ヒモ</t>
    </rPh>
    <rPh sb="14" eb="16">
      <t>レンバン</t>
    </rPh>
    <rPh sb="18" eb="19">
      <t>ケタ</t>
    </rPh>
    <rPh sb="22" eb="23">
      <t>ウ</t>
    </rPh>
    <phoneticPr fontId="9"/>
  </si>
  <si>
    <t>ICD10細区分名称</t>
    <rPh sb="6" eb="8">
      <t>クブン</t>
    </rPh>
    <rPh sb="8" eb="10">
      <t>メイショウ</t>
    </rPh>
    <phoneticPr fontId="8"/>
  </si>
  <si>
    <t>主傷病フラグ</t>
    <rPh sb="0" eb="3">
      <t>シュショウビョウ</t>
    </rPh>
    <phoneticPr fontId="9"/>
  </si>
  <si>
    <t>main_f</t>
  </si>
  <si>
    <t>1: 主傷病　2:併発症</t>
    <rPh sb="3" eb="6">
      <t>シュショウビョウ</t>
    </rPh>
    <rPh sb="9" eb="11">
      <t>ヘイハツ</t>
    </rPh>
    <rPh sb="11" eb="12">
      <t>ショウ</t>
    </rPh>
    <phoneticPr fontId="9"/>
  </si>
  <si>
    <t>iyakuhin_cd</t>
    <phoneticPr fontId="8"/>
  </si>
  <si>
    <t>医薬品名</t>
    <rPh sb="0" eb="4">
      <t>イヤクヒンメイ</t>
    </rPh>
    <phoneticPr fontId="11"/>
  </si>
  <si>
    <t>iyakuhin_name</t>
    <phoneticPr fontId="11"/>
  </si>
  <si>
    <t>表示名</t>
    <rPh sb="0" eb="2">
      <t>ヒョウジ</t>
    </rPh>
    <rPh sb="2" eb="3">
      <t>メイ</t>
    </rPh>
    <phoneticPr fontId="11"/>
  </si>
  <si>
    <t>disp_name</t>
    <phoneticPr fontId="11"/>
  </si>
  <si>
    <t>文字列</t>
    <rPh sb="0" eb="3">
      <t>モジレツ</t>
    </rPh>
    <phoneticPr fontId="15"/>
  </si>
  <si>
    <t>診療行為マスタ</t>
    <phoneticPr fontId="8"/>
  </si>
  <si>
    <t>診療行為マスタ</t>
    <rPh sb="0" eb="4">
      <t>シンリョウコウイ</t>
    </rPh>
    <phoneticPr fontId="9"/>
  </si>
  <si>
    <t>薬剤マスタ</t>
    <phoneticPr fontId="8"/>
  </si>
  <si>
    <t>エンティティ一覧</t>
    <phoneticPr fontId="8"/>
  </si>
  <si>
    <t>バックアップ_二次利用DB登録患者紐付けデータ</t>
    <rPh sb="7" eb="9">
      <t>ニジ</t>
    </rPh>
    <rPh sb="9" eb="11">
      <t>リヨウ</t>
    </rPh>
    <rPh sb="13" eb="15">
      <t>トウロク</t>
    </rPh>
    <rPh sb="15" eb="17">
      <t>カンジャ</t>
    </rPh>
    <rPh sb="17" eb="18">
      <t>ヒモ</t>
    </rPh>
    <rPh sb="18" eb="19">
      <t>ツ</t>
    </rPh>
    <phoneticPr fontId="11"/>
  </si>
  <si>
    <t>施設マスタ</t>
    <rPh sb="0" eb="2">
      <t>シセツ</t>
    </rPh>
    <phoneticPr fontId="8"/>
  </si>
  <si>
    <t>21_04</t>
    <phoneticPr fontId="8"/>
  </si>
  <si>
    <t>疾患マスタを疾患マスタに投入する。</t>
    <rPh sb="0" eb="2">
      <t>シッカン</t>
    </rPh>
    <rPh sb="12" eb="14">
      <t>トウニュウ</t>
    </rPh>
    <phoneticPr fontId="8"/>
  </si>
  <si>
    <t>21_05</t>
    <phoneticPr fontId="8"/>
  </si>
  <si>
    <t>薬剤マスタを薬剤マスタに投入する。</t>
    <rPh sb="12" eb="14">
      <t>トウニュウ</t>
    </rPh>
    <phoneticPr fontId="8"/>
  </si>
  <si>
    <t>21_06</t>
    <phoneticPr fontId="8"/>
  </si>
  <si>
    <t>検体検査マスタを検体検査マスタに投入する。</t>
    <rPh sb="16" eb="18">
      <t>トウニュウ</t>
    </rPh>
    <phoneticPr fontId="8"/>
  </si>
  <si>
    <t>21_07</t>
    <phoneticPr fontId="8"/>
  </si>
  <si>
    <t>診療行為マスタを診療行為マスタに投入する。</t>
    <rPh sb="16" eb="18">
      <t>トウニュウ</t>
    </rPh>
    <phoneticPr fontId="8"/>
  </si>
  <si>
    <t>work</t>
  </si>
  <si>
    <t>ENT_31_C4-37</t>
  </si>
  <si>
    <t>ENT_31_C4-38</t>
  </si>
  <si>
    <t>ENT_31_C4-40</t>
  </si>
  <si>
    <t>ENT_31_C4-41</t>
  </si>
  <si>
    <t>ベース_バイタルサインモジュール_記録項目</t>
  </si>
  <si>
    <t>ベース_体温表モジュール_バイタルサイン</t>
  </si>
  <si>
    <t>ベース_体温表モジュール_記録項目</t>
  </si>
  <si>
    <t>ベース_体温表モジュール_記録項目</t>
    <phoneticPr fontId="8"/>
  </si>
  <si>
    <t>ベース_体温表モジュール_バイタルサイン</t>
    <phoneticPr fontId="8"/>
  </si>
  <si>
    <t>ベース_バイタルサインモジュール_記録項目</t>
    <phoneticPr fontId="8"/>
  </si>
  <si>
    <t>ベース_バイタルサインモジュール_バイタルサイン</t>
    <phoneticPr fontId="8"/>
  </si>
  <si>
    <t>31_C4-41</t>
    <phoneticPr fontId="8"/>
  </si>
  <si>
    <t>31_C4-40</t>
    <phoneticPr fontId="8"/>
  </si>
  <si>
    <t>31_C4-38</t>
    <phoneticPr fontId="8"/>
  </si>
  <si>
    <t>31_C4-37</t>
    <phoneticPr fontId="8"/>
  </si>
  <si>
    <t>ベース_バイタルサインモジュール_バイタルサイン</t>
    <phoneticPr fontId="8"/>
  </si>
  <si>
    <t>バックアップ_バイタルサインモジュール_バイタルサイン</t>
    <phoneticPr fontId="11"/>
  </si>
  <si>
    <t>バックアップ_バイタルサインモジュール_記録項目</t>
    <rPh sb="20" eb="22">
      <t>キロク</t>
    </rPh>
    <rPh sb="22" eb="24">
      <t>コウモク</t>
    </rPh>
    <phoneticPr fontId="11"/>
  </si>
  <si>
    <t>バックアップ_体温表モジュール_バイタルサイン</t>
    <rPh sb="7" eb="9">
      <t>タイオン</t>
    </rPh>
    <rPh sb="9" eb="10">
      <t>ヒョウ</t>
    </rPh>
    <phoneticPr fontId="11"/>
  </si>
  <si>
    <t>バックアップ_体温表モジュール_記録項目</t>
    <rPh sb="7" eb="9">
      <t>タイオン</t>
    </rPh>
    <rPh sb="9" eb="10">
      <t>ヒョウ</t>
    </rPh>
    <rPh sb="16" eb="18">
      <t>キロク</t>
    </rPh>
    <rPh sb="18" eb="20">
      <t>コウモク</t>
    </rPh>
    <phoneticPr fontId="11"/>
  </si>
  <si>
    <t>41_01</t>
    <phoneticPr fontId="8"/>
  </si>
  <si>
    <t>ベース_患者基本データ</t>
  </si>
  <si>
    <t>ワーク_患者基本データ</t>
    <rPh sb="4" eb="6">
      <t>カンジャ</t>
    </rPh>
    <rPh sb="6" eb="8">
      <t>キホン</t>
    </rPh>
    <phoneticPr fontId="8"/>
  </si>
  <si>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8"/>
  </si>
  <si>
    <t>41_02</t>
    <phoneticPr fontId="8"/>
  </si>
  <si>
    <t>ベース_MML_診断履歴情報モジュール_本文</t>
    <rPh sb="20" eb="22">
      <t>ホンブン</t>
    </rPh>
    <phoneticPr fontId="8"/>
  </si>
  <si>
    <t>ワーク_疾患データ</t>
    <rPh sb="4" eb="6">
      <t>シッカン</t>
    </rPh>
    <phoneticPr fontId="8"/>
  </si>
  <si>
    <t>41_06</t>
    <phoneticPr fontId="8"/>
  </si>
  <si>
    <t>ワーク_入院退院_DPC</t>
    <rPh sb="4" eb="8">
      <t>ニュウインタイイン</t>
    </rPh>
    <phoneticPr fontId="8"/>
  </si>
  <si>
    <t>41_07</t>
    <phoneticPr fontId="8"/>
  </si>
  <si>
    <t>ワーク_入院退院_MML</t>
    <rPh sb="4" eb="6">
      <t>ニュウイン</t>
    </rPh>
    <rPh sb="6" eb="8">
      <t>タイイン</t>
    </rPh>
    <phoneticPr fontId="8"/>
  </si>
  <si>
    <t>41_08</t>
    <phoneticPr fontId="8"/>
  </si>
  <si>
    <t>ワーク_入院退院</t>
    <rPh sb="4" eb="6">
      <t>ニュウイン</t>
    </rPh>
    <rPh sb="6" eb="8">
      <t>タイイン</t>
    </rPh>
    <phoneticPr fontId="8"/>
  </si>
  <si>
    <t>ワーク_入院退院_MML</t>
    <rPh sb="4" eb="8">
      <t>ニュウインタイイン</t>
    </rPh>
    <phoneticPr fontId="8"/>
  </si>
  <si>
    <t>41_09</t>
    <phoneticPr fontId="8"/>
  </si>
  <si>
    <t>ワーク_外来_DPC</t>
    <rPh sb="4" eb="6">
      <t>ガイライ</t>
    </rPh>
    <phoneticPr fontId="8"/>
  </si>
  <si>
    <t>41_10</t>
    <phoneticPr fontId="8"/>
  </si>
  <si>
    <t>ワーク_外来_MML</t>
    <rPh sb="4" eb="6">
      <t>ガイライ</t>
    </rPh>
    <phoneticPr fontId="8"/>
  </si>
  <si>
    <t>41_11</t>
    <phoneticPr fontId="8"/>
  </si>
  <si>
    <t>ワーク_外来</t>
    <rPh sb="4" eb="6">
      <t>ガイライ</t>
    </rPh>
    <phoneticPr fontId="8"/>
  </si>
  <si>
    <t>41_12</t>
    <phoneticPr fontId="8"/>
  </si>
  <si>
    <t>ベース_処方データ</t>
    <rPh sb="4" eb="6">
      <t>ショホウ</t>
    </rPh>
    <phoneticPr fontId="8"/>
  </si>
  <si>
    <t>41_13</t>
    <phoneticPr fontId="8"/>
  </si>
  <si>
    <t>41_14</t>
    <phoneticPr fontId="8"/>
  </si>
  <si>
    <t>ワーク_診療行為データ</t>
    <phoneticPr fontId="8"/>
  </si>
  <si>
    <t>ワーク_検体検査データ_スキーマ2</t>
    <rPh sb="4" eb="8">
      <t>ケンタイケンサ</t>
    </rPh>
    <phoneticPr fontId="8"/>
  </si>
  <si>
    <t>milscm_2023_009</t>
  </si>
  <si>
    <t>41_16</t>
    <phoneticPr fontId="8"/>
  </si>
  <si>
    <t>ワーク_検体検査データ_スキーマ4</t>
    <rPh sb="4" eb="8">
      <t>ケンタイケンサ</t>
    </rPh>
    <phoneticPr fontId="8"/>
  </si>
  <si>
    <t>ワーク_検体検査データ</t>
    <rPh sb="4" eb="8">
      <t>ケンタイケンサ</t>
    </rPh>
    <phoneticPr fontId="8"/>
  </si>
  <si>
    <t>ワーク_テキスト情報_一時</t>
    <rPh sb="8" eb="10">
      <t>ジョウホウ</t>
    </rPh>
    <rPh sb="11" eb="13">
      <t>イチジ</t>
    </rPh>
    <phoneticPr fontId="8"/>
  </si>
  <si>
    <t>ワーク_テキスト情報</t>
    <rPh sb="8" eb="10">
      <t>ジョウホウ</t>
    </rPh>
    <phoneticPr fontId="8"/>
  </si>
  <si>
    <t>41_03</t>
    <phoneticPr fontId="8"/>
  </si>
  <si>
    <t>ワーク_処方データ</t>
    <rPh sb="4" eb="6">
      <t>ショホウ</t>
    </rPh>
    <phoneticPr fontId="8"/>
  </si>
  <si>
    <t>41_04</t>
    <phoneticPr fontId="8"/>
  </si>
  <si>
    <t>41_05</t>
    <phoneticPr fontId="8"/>
  </si>
  <si>
    <t>ワーク_身長体重データ_DPC</t>
    <rPh sb="4" eb="8">
      <t>シンチョウタイジュウ</t>
    </rPh>
    <phoneticPr fontId="8"/>
  </si>
  <si>
    <t>41_15-01</t>
    <phoneticPr fontId="8"/>
  </si>
  <si>
    <t>ワーク_身長体重データ_MML</t>
    <rPh sb="4" eb="8">
      <t>シンチョウタイジュウ</t>
    </rPh>
    <phoneticPr fontId="8"/>
  </si>
  <si>
    <t>ワーク_身長体重データ</t>
    <rPh sb="4" eb="8">
      <t>シンチョウタイジュウ</t>
    </rPh>
    <phoneticPr fontId="8"/>
  </si>
  <si>
    <t>41_17_01</t>
  </si>
  <si>
    <t>41_17_02</t>
  </si>
  <si>
    <t>41_17_03</t>
  </si>
  <si>
    <t>41_17_04</t>
  </si>
  <si>
    <t>41_17_05</t>
  </si>
  <si>
    <t>41_17_06</t>
  </si>
  <si>
    <t>41_17_07</t>
  </si>
  <si>
    <t>41_17_08</t>
  </si>
  <si>
    <t>41_17_09</t>
  </si>
  <si>
    <t>41_17_10</t>
  </si>
  <si>
    <t>41_17_11</t>
  </si>
  <si>
    <t>41_17_12</t>
  </si>
  <si>
    <t>41_17_13</t>
  </si>
  <si>
    <t>41_18</t>
    <phoneticPr fontId="8"/>
  </si>
  <si>
    <t>41_15-02</t>
    <phoneticPr fontId="8"/>
  </si>
  <si>
    <t>ベース_体温表モジュール_バイタルサイン</t>
    <rPh sb="4" eb="6">
      <t>タイオン</t>
    </rPh>
    <rPh sb="6" eb="7">
      <t>ヒョウ</t>
    </rPh>
    <phoneticPr fontId="8"/>
  </si>
  <si>
    <t>ワーク_患者基本データ</t>
    <phoneticPr fontId="8"/>
  </si>
  <si>
    <t>文字列</t>
    <rPh sb="0" eb="3">
      <t>モジレツ</t>
    </rPh>
    <phoneticPr fontId="26"/>
  </si>
  <si>
    <t>男女区分</t>
    <rPh sb="0" eb="2">
      <t>ダンジョ</t>
    </rPh>
    <rPh sb="2" eb="4">
      <t>クブン</t>
    </rPh>
    <phoneticPr fontId="14"/>
  </si>
  <si>
    <t>生年月日</t>
    <rPh sb="0" eb="2">
      <t>セイネン</t>
    </rPh>
    <rPh sb="2" eb="4">
      <t>ガッピ</t>
    </rPh>
    <phoneticPr fontId="14"/>
  </si>
  <si>
    <t>レセプト、MMLの患者基本データを格納するテーブル</t>
    <phoneticPr fontId="8"/>
  </si>
  <si>
    <t>MMLの疾患データを格納するテーブル</t>
    <phoneticPr fontId="8"/>
  </si>
  <si>
    <t>病名コード値</t>
    <rPh sb="0" eb="2">
      <t>ビョウメイ</t>
    </rPh>
    <phoneticPr fontId="2"/>
  </si>
  <si>
    <t>病名コード体系名</t>
    <rPh sb="0" eb="2">
      <t>ビョウメイ</t>
    </rPh>
    <phoneticPr fontId="2"/>
  </si>
  <si>
    <t>ワーク_入院退院_DPC</t>
    <phoneticPr fontId="8"/>
  </si>
  <si>
    <t>DPCの入退院データを格納するテーブル</t>
    <phoneticPr fontId="8"/>
  </si>
  <si>
    <t>入院年月日</t>
    <rPh sb="0" eb="2">
      <t>ニュウイン</t>
    </rPh>
    <rPh sb="2" eb="5">
      <t>ネンガッピ</t>
    </rPh>
    <phoneticPr fontId="14"/>
  </si>
  <si>
    <t>退院年月日</t>
    <rPh sb="0" eb="2">
      <t>タイイン</t>
    </rPh>
    <rPh sb="2" eb="5">
      <t>ネンガッピ</t>
    </rPh>
    <phoneticPr fontId="14"/>
  </si>
  <si>
    <t>ワーク_入院退院_MML</t>
    <phoneticPr fontId="8"/>
  </si>
  <si>
    <t>MMLの入退院データを格納するテーブル</t>
    <phoneticPr fontId="8"/>
  </si>
  <si>
    <t>ワーク_入院退院</t>
    <phoneticPr fontId="8"/>
  </si>
  <si>
    <t>入退院データを格納するテーブル</t>
    <phoneticPr fontId="8"/>
  </si>
  <si>
    <t>ワーク_外来_DPC</t>
    <phoneticPr fontId="8"/>
  </si>
  <si>
    <t>DPCの外来データを格納するテーブル</t>
    <phoneticPr fontId="8"/>
  </si>
  <si>
    <t>外来年月日</t>
    <rPh sb="0" eb="2">
      <t>ガイライ</t>
    </rPh>
    <rPh sb="2" eb="5">
      <t>ネンガッピ</t>
    </rPh>
    <phoneticPr fontId="14"/>
  </si>
  <si>
    <t>ワーク_外来_MML</t>
    <phoneticPr fontId="8"/>
  </si>
  <si>
    <t>ワーク_外来</t>
    <phoneticPr fontId="8"/>
  </si>
  <si>
    <t>MMLの外来データを格納するテーブル</t>
    <phoneticPr fontId="8"/>
  </si>
  <si>
    <t>外来データを格納するテーブル</t>
    <phoneticPr fontId="8"/>
  </si>
  <si>
    <t>ワーク_処方データ</t>
    <phoneticPr fontId="8"/>
  </si>
  <si>
    <t>使用量</t>
    <rPh sb="0" eb="2">
      <t>シヨウ</t>
    </rPh>
    <rPh sb="2" eb="3">
      <t>リョウ</t>
    </rPh>
    <phoneticPr fontId="14"/>
  </si>
  <si>
    <t>実数</t>
    <rPh sb="0" eb="2">
      <t>ジッスウ</t>
    </rPh>
    <phoneticPr fontId="14"/>
  </si>
  <si>
    <t>基準単位</t>
    <rPh sb="0" eb="2">
      <t>キジュン</t>
    </rPh>
    <rPh sb="2" eb="4">
      <t>タンイ</t>
    </rPh>
    <phoneticPr fontId="14"/>
  </si>
  <si>
    <t>行為回数</t>
    <rPh sb="0" eb="2">
      <t>コウイ</t>
    </rPh>
    <rPh sb="2" eb="4">
      <t>カイスウ</t>
    </rPh>
    <phoneticPr fontId="14"/>
  </si>
  <si>
    <t>実施年月日</t>
    <rPh sb="0" eb="2">
      <t>ジッシ</t>
    </rPh>
    <rPh sb="2" eb="5">
      <t>ネンガッピ</t>
    </rPh>
    <phoneticPr fontId="14"/>
  </si>
  <si>
    <t>ワーク_診療行為データ</t>
    <phoneticPr fontId="8"/>
  </si>
  <si>
    <t>診療行為データを格納するテーブル</t>
    <phoneticPr fontId="8"/>
  </si>
  <si>
    <t>処方データを格納するテーブル</t>
    <phoneticPr fontId="8"/>
  </si>
  <si>
    <t>ワーク_検体検査データ_スキーマ2</t>
    <phoneticPr fontId="8"/>
  </si>
  <si>
    <t>ワーク_検体検査データ_スキーマ4</t>
    <phoneticPr fontId="8"/>
  </si>
  <si>
    <t>ワーク_検体検査データ</t>
    <phoneticPr fontId="8"/>
  </si>
  <si>
    <t>ワーク_検体検査データ_スキーマ2</t>
    <phoneticPr fontId="8"/>
  </si>
  <si>
    <t>MML（スキーマ2）の検体検査データを格納するテーブル</t>
    <phoneticPr fontId="8"/>
  </si>
  <si>
    <t>ワーク_検体検査データ_スキーマ4</t>
    <phoneticPr fontId="8"/>
  </si>
  <si>
    <t>MML（スキーマ4）の検体検査データを格納するテーブル</t>
    <phoneticPr fontId="8"/>
  </si>
  <si>
    <t>ワーク_検体検査データ</t>
    <phoneticPr fontId="8"/>
  </si>
  <si>
    <t>MMLの検体検査データを格納するテーブル</t>
    <phoneticPr fontId="8"/>
  </si>
  <si>
    <t>日付</t>
    <rPh sb="0" eb="2">
      <t>ヒヅケ</t>
    </rPh>
    <phoneticPr fontId="14"/>
  </si>
  <si>
    <t>ワーク_身長体重データ_DPC</t>
    <phoneticPr fontId="8"/>
  </si>
  <si>
    <t>ワーク_身長体重データ_MML</t>
    <phoneticPr fontId="8"/>
  </si>
  <si>
    <t>ワーク_身長体重データ</t>
    <phoneticPr fontId="8"/>
  </si>
  <si>
    <t>ワーク_テキスト情報_一時</t>
    <phoneticPr fontId="8"/>
  </si>
  <si>
    <t>ワーク_テキスト情報</t>
    <phoneticPr fontId="8"/>
  </si>
  <si>
    <t>ワーク_テキスト情報_一時</t>
    <phoneticPr fontId="8"/>
  </si>
  <si>
    <t>MMLのテキストデータを格納するテーブル</t>
    <phoneticPr fontId="8"/>
  </si>
  <si>
    <t>文字列</t>
    <rPh sb="0" eb="3">
      <t>モジレツ</t>
    </rPh>
    <phoneticPr fontId="31"/>
  </si>
  <si>
    <t>患者ID</t>
    <rPh sb="0" eb="2">
      <t>カンジャ</t>
    </rPh>
    <phoneticPr fontId="6"/>
  </si>
  <si>
    <t>モジュールSEQ</t>
  </si>
  <si>
    <t>module_seq</t>
  </si>
  <si>
    <t>外部参照SEQ</t>
    <rPh sb="0" eb="2">
      <t>ガイブ</t>
    </rPh>
    <rPh sb="2" eb="4">
      <t>サンショウ</t>
    </rPh>
    <phoneticPr fontId="2"/>
  </si>
  <si>
    <t>モジュール名</t>
    <rPh sb="5" eb="6">
      <t>メイ</t>
    </rPh>
    <phoneticPr fontId="12"/>
  </si>
  <si>
    <t>source_module</t>
  </si>
  <si>
    <t>取得元テーブル名</t>
    <rPh sb="0" eb="3">
      <t>シュトクモト</t>
    </rPh>
    <rPh sb="7" eb="8">
      <t>メイ</t>
    </rPh>
    <phoneticPr fontId="12"/>
  </si>
  <si>
    <t>source_table</t>
  </si>
  <si>
    <t>取得元カラム名</t>
    <rPh sb="0" eb="2">
      <t>シュトク</t>
    </rPh>
    <rPh sb="2" eb="3">
      <t>モト</t>
    </rPh>
    <rPh sb="6" eb="7">
      <t>メイ</t>
    </rPh>
    <phoneticPr fontId="12"/>
  </si>
  <si>
    <t>source_column</t>
  </si>
  <si>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</si>
  <si>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</si>
  <si>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</si>
  <si>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</si>
  <si>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オリジナルテキスト</t>
  </si>
  <si>
    <t>original_text</t>
  </si>
  <si>
    <t>mmlPc:ProgressCourseModule単位に通番付与
mmlSm:SummaryModule単位に通番付与</t>
    <rPh sb="26" eb="28">
      <t>タンイ</t>
    </rPh>
    <rPh sb="29" eb="31">
      <t>ツウバン</t>
    </rPh>
    <rPh sb="31" eb="33">
      <t>フヨ</t>
    </rPh>
    <phoneticPr fontId="2"/>
  </si>
  <si>
    <t>mmlPc:problemItem単位に通番付与</t>
    <rPh sb="17" eb="19">
      <t>タンイ</t>
    </rPh>
    <rPh sb="20" eb="22">
      <t>ツウバン</t>
    </rPh>
    <rPh sb="22" eb="24">
      <t>フヨ</t>
    </rPh>
    <phoneticPr fontId="2"/>
  </si>
  <si>
    <t>mmlPc:assessmentItem単位に通番付与</t>
    <rPh sb="20" eb="22">
      <t>タンイ</t>
    </rPh>
    <rPh sb="23" eb="25">
      <t>ツウバン</t>
    </rPh>
    <rPh sb="25" eb="27">
      <t>フヨ</t>
    </rPh>
    <phoneticPr fontId="2"/>
  </si>
  <si>
    <t>mmlCm:extRef単位に通番付与</t>
    <rPh sb="12" eb="14">
      <t>タンイ</t>
    </rPh>
    <rPh sb="15" eb="17">
      <t>ツウバン</t>
    </rPh>
    <rPh sb="17" eb="19">
      <t>フヨ</t>
    </rPh>
    <phoneticPr fontId="2"/>
  </si>
  <si>
    <t>mmlSm:clinicalRecord単位で通番付与</t>
    <rPh sb="20" eb="22">
      <t>タンイ</t>
    </rPh>
    <rPh sb="23" eb="25">
      <t>ツウバン</t>
    </rPh>
    <rPh sb="25" eb="27">
      <t>フヨ</t>
    </rPh>
    <phoneticPr fontId="2"/>
  </si>
  <si>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</si>
  <si>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</si>
  <si>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</si>
  <si>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</si>
  <si>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</si>
  <si>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</si>
  <si>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</si>
  <si>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ワーク_テキスト情報</t>
    <phoneticPr fontId="8"/>
  </si>
  <si>
    <t>テキスト連結番号</t>
    <rPh sb="4" eb="6">
      <t>レンケツ</t>
    </rPh>
    <rPh sb="6" eb="8">
      <t>バンゴウ</t>
    </rPh>
    <phoneticPr fontId="9"/>
  </si>
  <si>
    <t>link_no</t>
  </si>
  <si>
    <t>テキスト重複SEQ</t>
    <rPh sb="4" eb="6">
      <t>チョウフク</t>
    </rPh>
    <phoneticPr fontId="12"/>
  </si>
  <si>
    <t>dup_text_seq</t>
  </si>
  <si>
    <t>全レコードの連番</t>
    <rPh sb="0" eb="1">
      <t>ゼン</t>
    </rPh>
    <rPh sb="6" eb="8">
      <t>レンバン</t>
    </rPh>
    <phoneticPr fontId="9"/>
  </si>
  <si>
    <t>mask_idでテキストに重複があった場合、comfirm_dateの昇順に連番を付与</t>
    <rPh sb="13" eb="15">
      <t>チョウフク</t>
    </rPh>
    <rPh sb="19" eb="21">
      <t>バアイ</t>
    </rPh>
    <rPh sb="35" eb="37">
      <t>ショウジュン</t>
    </rPh>
    <rPh sb="38" eb="40">
      <t>レンバン</t>
    </rPh>
    <rPh sb="41" eb="43">
      <t>フヨ</t>
    </rPh>
    <phoneticPr fontId="12"/>
  </si>
  <si>
    <t>ワーク_身長体重データ_DPC</t>
    <phoneticPr fontId="8"/>
  </si>
  <si>
    <t>DPCの身長体重データを格納するテーブル</t>
    <rPh sb="4" eb="6">
      <t>シンチョウ</t>
    </rPh>
    <rPh sb="6" eb="8">
      <t>タイジュウ</t>
    </rPh>
    <phoneticPr fontId="8"/>
  </si>
  <si>
    <t>YYYYMMDD</t>
    <phoneticPr fontId="8"/>
  </si>
  <si>
    <t>ワーク_身長体重データ_MML</t>
    <phoneticPr fontId="8"/>
  </si>
  <si>
    <t>MMLの身長体重データを格納するテーブル</t>
    <rPh sb="4" eb="6">
      <t>シンチョウ</t>
    </rPh>
    <rPh sb="6" eb="8">
      <t>タイジュウ</t>
    </rPh>
    <phoneticPr fontId="8"/>
  </si>
  <si>
    <t>vital_sign_time</t>
    <phoneticPr fontId="8"/>
  </si>
  <si>
    <t>日付重複SEQ</t>
    <rPh sb="0" eb="2">
      <t>ヒヅケ</t>
    </rPh>
    <rPh sb="2" eb="4">
      <t>チョウフク</t>
    </rPh>
    <phoneticPr fontId="12"/>
  </si>
  <si>
    <t>dup_date_seq</t>
    <phoneticPr fontId="8"/>
  </si>
  <si>
    <t>WeightまたはHeight</t>
    <phoneticPr fontId="8"/>
  </si>
  <si>
    <t>バイタルサインの計測時間</t>
    <phoneticPr fontId="8"/>
  </si>
  <si>
    <t>mask_idでバイタルサインの計測時間、項目名に重複があった場合、vital_sign_timeの昇順に連番を付与</t>
    <rPh sb="16" eb="18">
      <t>ケイソク</t>
    </rPh>
    <rPh sb="18" eb="20">
      <t>ジカン</t>
    </rPh>
    <rPh sb="25" eb="27">
      <t>チョウフク</t>
    </rPh>
    <rPh sb="31" eb="33">
      <t>バアイ</t>
    </rPh>
    <rPh sb="50" eb="52">
      <t>ショウジュン</t>
    </rPh>
    <rPh sb="53" eb="55">
      <t>レンバン</t>
    </rPh>
    <rPh sb="56" eb="58">
      <t>フヨ</t>
    </rPh>
    <phoneticPr fontId="12"/>
  </si>
  <si>
    <t>ワーク_身長体重データ</t>
    <phoneticPr fontId="8"/>
  </si>
  <si>
    <t>DPC、MMLの身長体重データを格納するテーブル</t>
    <rPh sb="8" eb="10">
      <t>シンチョウ</t>
    </rPh>
    <rPh sb="10" eb="12">
      <t>タイジュウ</t>
    </rPh>
    <phoneticPr fontId="8"/>
  </si>
  <si>
    <t>"DPC", "MML"の何れかを設定</t>
    <rPh sb="12" eb="13">
      <t>イズ</t>
    </rPh>
    <rPh sb="16" eb="18">
      <t>セッテイ</t>
    </rPh>
    <phoneticPr fontId="13"/>
  </si>
  <si>
    <t>計測日</t>
    <rPh sb="2" eb="3">
      <t>ビ</t>
    </rPh>
    <phoneticPr fontId="8"/>
  </si>
  <si>
    <t>measurement_date</t>
    <phoneticPr fontId="8"/>
  </si>
  <si>
    <t>item_value</t>
  </si>
  <si>
    <t>項目値</t>
    <rPh sb="2" eb="3">
      <t>アタイ</t>
    </rPh>
    <phoneticPr fontId="8"/>
  </si>
  <si>
    <t>mask_idで入院年月日、項目名に重複があった場合、nyuin_ymdの昇順に連番を付与</t>
    <rPh sb="8" eb="13">
      <t>ニュウインネンガッピ</t>
    </rPh>
    <rPh sb="14" eb="17">
      <t>コウモクメイ</t>
    </rPh>
    <rPh sb="18" eb="20">
      <t>チョウフク</t>
    </rPh>
    <rPh sb="24" eb="26">
      <t>バアイ</t>
    </rPh>
    <rPh sb="37" eb="39">
      <t>ショウジュン</t>
    </rPh>
    <rPh sb="40" eb="42">
      <t>レンバン</t>
    </rPh>
    <rPh sb="43" eb="45">
      <t>フヨ</t>
    </rPh>
    <phoneticPr fontId="12"/>
  </si>
  <si>
    <t>項目名に関する値(身長または体重)</t>
    <rPh sb="0" eb="3">
      <t>コウモクメイ</t>
    </rPh>
    <rPh sb="4" eb="5">
      <t>カン</t>
    </rPh>
    <rPh sb="7" eb="8">
      <t>アタイ</t>
    </rPh>
    <phoneticPr fontId="8"/>
  </si>
  <si>
    <t>点数表区分番号</t>
    <phoneticPr fontId="8"/>
  </si>
  <si>
    <t>フラグ</t>
    <phoneticPr fontId="8"/>
  </si>
  <si>
    <t>組入れ対象フラグ</t>
    <rPh sb="0" eb="1">
      <t>ク</t>
    </rPh>
    <rPh sb="1" eb="2">
      <t>イ</t>
    </rPh>
    <rPh sb="3" eb="5">
      <t>タイショウ</t>
    </rPh>
    <phoneticPr fontId="8"/>
  </si>
  <si>
    <t>enroll_f</t>
    <phoneticPr fontId="8"/>
  </si>
  <si>
    <t>組入れ対象の診療行為コードの場合TRUE</t>
    <rPh sb="0" eb="1">
      <t>ク</t>
    </rPh>
    <rPh sb="1" eb="2">
      <t>イ</t>
    </rPh>
    <rPh sb="3" eb="5">
      <t>タイショウ</t>
    </rPh>
    <rPh sb="6" eb="10">
      <t>シンリョウコウイ</t>
    </rPh>
    <rPh sb="14" eb="16">
      <t>バアイ</t>
    </rPh>
    <phoneticPr fontId="8"/>
  </si>
  <si>
    <t>エンティティ一覧</t>
    <phoneticPr fontId="8"/>
  </si>
  <si>
    <t>kubun_no</t>
    <phoneticPr fontId="8"/>
  </si>
  <si>
    <t>41_19</t>
    <phoneticPr fontId="8"/>
  </si>
  <si>
    <t>ワーク_観察期間</t>
    <rPh sb="4" eb="8">
      <t>カンサツキカン</t>
    </rPh>
    <phoneticPr fontId="8"/>
  </si>
  <si>
    <t>ベース_DPC調査データ_入院EF統合ファイル</t>
    <rPh sb="7" eb="9">
      <t>チョウサ</t>
    </rPh>
    <rPh sb="13" eb="15">
      <t>ニュウイン</t>
    </rPh>
    <rPh sb="17" eb="19">
      <t>トウゴウ</t>
    </rPh>
    <phoneticPr fontId="8"/>
  </si>
  <si>
    <t>ベース_DPC調査データ_外来EF統合ファイル</t>
    <rPh sb="13" eb="15">
      <t>ガイライ</t>
    </rPh>
    <phoneticPr fontId="8"/>
  </si>
  <si>
    <t>ワーク_観察期間</t>
    <phoneticPr fontId="8"/>
  </si>
  <si>
    <t>観察期間データを格納するテーブル</t>
    <rPh sb="0" eb="4">
      <t>カンサツキカン</t>
    </rPh>
    <phoneticPr fontId="8"/>
  </si>
  <si>
    <t>観察期間開始日</t>
    <rPh sb="0" eb="4">
      <t>カンサツキカン</t>
    </rPh>
    <rPh sb="4" eb="7">
      <t>カイシビ</t>
    </rPh>
    <phoneticPr fontId="17"/>
  </si>
  <si>
    <t>観察期間終了日</t>
    <rPh sb="0" eb="4">
      <t>カンサツキカン</t>
    </rPh>
    <rPh sb="4" eb="6">
      <t>シュウリョウ</t>
    </rPh>
    <rPh sb="6" eb="7">
      <t>ビ</t>
    </rPh>
    <phoneticPr fontId="17"/>
  </si>
  <si>
    <t>実施年月日の最大値</t>
    <rPh sb="0" eb="5">
      <t>ジッシネンガッピ</t>
    </rPh>
    <rPh sb="6" eb="9">
      <t>サイダイチ</t>
    </rPh>
    <phoneticPr fontId="8"/>
  </si>
  <si>
    <t>実施年月日の最小値</t>
    <rPh sb="0" eb="5">
      <t>ジッシネンガッピ</t>
    </rPh>
    <rPh sb="6" eb="9">
      <t>サイショウチ</t>
    </rPh>
    <phoneticPr fontId="8"/>
  </si>
  <si>
    <t>kansatsu_start_date</t>
    <phoneticPr fontId="8"/>
  </si>
  <si>
    <t>kansatsu_end_date</t>
    <phoneticPr fontId="8"/>
  </si>
  <si>
    <t>a001010_heightの場合は、Height
a001010_weightの場合は、Weight</t>
    <phoneticPr fontId="8"/>
  </si>
  <si>
    <t>row_no</t>
    <phoneticPr fontId="8"/>
  </si>
  <si>
    <t>行番号</t>
    <rPh sb="0" eb="3">
      <t>ギョウバンゴウ</t>
    </rPh>
    <phoneticPr fontId="8"/>
  </si>
  <si>
    <t>整数</t>
    <rPh sb="0" eb="2">
      <t>セイスウ</t>
    </rPh>
    <phoneticPr fontId="14"/>
  </si>
  <si>
    <t>PK項目ごとに採番</t>
    <rPh sb="2" eb="4">
      <t>コウモク</t>
    </rPh>
    <rPh sb="7" eb="9">
      <t>サイバン</t>
    </rPh>
    <phoneticPr fontId="8"/>
  </si>
  <si>
    <t>○</t>
    <phoneticPr fontId="8"/>
  </si>
  <si>
    <t>YYYYMMDDHHMM</t>
    <phoneticPr fontId="8"/>
  </si>
  <si>
    <t>PK項目（採取日時は日付（前8桁））ごとに採番</t>
    <rPh sb="2" eb="4">
      <t>コウモク</t>
    </rPh>
    <rPh sb="21" eb="23">
      <t>サイバン</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</si>
</sst>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0">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66">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47" xfId="1" applyFont="1" applyBorder="1">
      <alignment vertical="center"/>
    </xf>
    <xf numFmtId="0" fontId="25" fillId="0" borderId="43" xfId="1" applyFont="1" applyBorder="1">
      <alignment vertical="center"/>
    </xf>
    <xf numFmtId="0" fontId="25" fillId="0" borderId="5" xfId="1" applyFont="1" applyFill="1" applyBorder="1">
      <alignment vertical="center"/>
    </xf>
    <xf numFmtId="0" fontId="25" fillId="0" borderId="41"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3"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59" xfId="1" applyFont="1" applyBorder="1">
      <alignment vertical="center"/>
    </xf>
    <xf numFmtId="0" fontId="25" fillId="0" borderId="59" xfId="1" applyFont="1" applyFill="1" applyBorder="1">
      <alignment vertical="center"/>
    </xf>
    <xf numFmtId="0" fontId="25" fillId="0" borderId="42" xfId="1" applyFont="1" applyBorder="1">
      <alignment vertical="center"/>
    </xf>
    <xf numFmtId="0" fontId="25" fillId="0" borderId="0" xfId="1" applyFont="1" applyBorder="1" applyAlignment="1">
      <alignment vertical="center"/>
    </xf>
    <xf numFmtId="0" fontId="25" fillId="0" borderId="21" xfId="1" applyFont="1" applyBorder="1" applyAlignment="1">
      <alignment vertical="center"/>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0" fontId="14" fillId="4" borderId="53" xfId="8" applyFont="1" applyFill="1" applyBorder="1" applyAlignment="1">
      <alignment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1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styles" Target="styles.xml"/><Relationship Id="rId19" Type="http://schemas.openxmlformats.org/officeDocument/2006/relationships/worksheet" Target="worksheets/sheet19.xml"/><Relationship Id="rId224" Type="http://schemas.openxmlformats.org/officeDocument/2006/relationships/worksheet" Target="worksheets/sheet224.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231" Type="http://schemas.openxmlformats.org/officeDocument/2006/relationships/calcChain" Target="calcChain.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549140" y="162376485"/>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170</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40</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30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157</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151</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42</xdr:row>
      <xdr:rowOff>0</xdr:rowOff>
    </xdr:from>
    <xdr:ext cx="3860159"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10001250"/>
          <a:ext cx="38601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12</xdr:col>
      <xdr:colOff>891540</xdr:colOff>
      <xdr:row>69</xdr:row>
      <xdr:rowOff>175260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8183880" y="1434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82</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76</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102</xdr:row>
      <xdr:rowOff>167640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706374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040880" y="16535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7040880" y="15118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1183273"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20078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111</xdr:row>
      <xdr:rowOff>167640</xdr:rowOff>
    </xdr:from>
    <xdr:ext cx="1183273"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81762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97</xdr:row>
      <xdr:rowOff>0</xdr:rowOff>
    </xdr:from>
    <xdr:ext cx="1183273"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8206740" y="207873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106</xdr:row>
      <xdr:rowOff>0</xdr:rowOff>
    </xdr:from>
    <xdr:ext cx="1183273"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9121140" y="229133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22860</xdr:colOff>
      <xdr:row>117</xdr:row>
      <xdr:rowOff>167640</xdr:rowOff>
    </xdr:from>
    <xdr:ext cx="1183273"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817620" y="242620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115</xdr:row>
      <xdr:rowOff>0</xdr:rowOff>
    </xdr:from>
    <xdr:ext cx="1183273"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10287000" y="25039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xdr:row>
      <xdr:rowOff>0</xdr:rowOff>
    </xdr:from>
    <xdr:ext cx="1723549"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4219575" y="347662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施設が名古屋第一以外</a:t>
          </a:r>
        </a:p>
      </xdr:txBody>
    </xdr:sp>
    <xdr:clientData/>
  </xdr:oneCellAnchor>
  <xdr:oneCellAnchor>
    <xdr:from>
      <xdr:col>14</xdr:col>
      <xdr:colOff>0</xdr:colOff>
      <xdr:row>133</xdr:row>
      <xdr:rowOff>0</xdr:rowOff>
    </xdr:from>
    <xdr:ext cx="1106521"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11439525" y="3595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xdr:row>
      <xdr:rowOff>0</xdr:rowOff>
    </xdr:from>
    <xdr:ext cx="1415772"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4219575" y="3619500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a:t>
          </a:r>
        </a:p>
      </xdr:txBody>
    </xdr:sp>
    <xdr:clientData/>
  </xdr:oneCellAnchor>
  <xdr:oneCellAnchor>
    <xdr:from>
      <xdr:col>14</xdr:col>
      <xdr:colOff>0</xdr:colOff>
      <xdr:row>129</xdr:row>
      <xdr:rowOff>0</xdr:rowOff>
    </xdr:from>
    <xdr:ext cx="3982116"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10144125" y="30718125"/>
          <a:ext cx="398211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患者、検査（表示名）で集約し、表示名が</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種とも存在</a:t>
          </a:r>
        </a:p>
      </xdr:txBody>
    </xdr:sp>
    <xdr:clientData/>
  </xdr:oneCellAnchor>
  <xdr:oneCellAnchor>
    <xdr:from>
      <xdr:col>11</xdr:col>
      <xdr:colOff>0</xdr:colOff>
      <xdr:row>130</xdr:row>
      <xdr:rowOff>0</xdr:rowOff>
    </xdr:from>
    <xdr:ext cx="3706271"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7829550" y="3095625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11</xdr:col>
      <xdr:colOff>0</xdr:colOff>
      <xdr:row>136</xdr:row>
      <xdr:rowOff>0</xdr:rowOff>
    </xdr:from>
    <xdr:ext cx="3706271"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7829550" y="3238500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46</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0538460" y="614172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7040880" y="85039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046220" y="803148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10538460" y="826770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56</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7040880" y="10866120"/>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受領ファイルの「薬剤マスタ」シート分を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66</xdr:row>
      <xdr:rowOff>0</xdr:rowOff>
    </xdr:from>
    <xdr:ext cx="3416320" cy="692497"/>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受領ファイルの「検体検査マスタ」シート分を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76</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受領ファイルの「診療行為マスタ」シート分を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201</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4219575" y="37576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4219575" y="37861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4219575" y="38147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4219575" y="384333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16</xdr:col>
      <xdr:colOff>0</xdr:colOff>
      <xdr:row>9</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15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175260</xdr:colOff>
      <xdr:row>5</xdr:row>
      <xdr:rowOff>152400</xdr:rowOff>
    </xdr:from>
    <xdr:ext cx="1960986" cy="392415"/>
    <xdr:sp macro="" textlink="">
      <xdr:nvSpPr>
        <xdr:cNvPr id="37" name="テキスト ボックス 36">
          <a:extLst>
            <a:ext uri="{FF2B5EF4-FFF2-40B4-BE49-F238E27FC236}">
              <a16:creationId xmlns:a16="http://schemas.microsoft.com/office/drawing/2014/main" id="{00000000-0008-0000-0500-000016000000}"/>
            </a:ext>
          </a:extLst>
        </xdr:cNvPr>
        <xdr:cNvSpPr txBox="1"/>
      </xdr:nvSpPr>
      <xdr:spPr>
        <a:xfrm>
          <a:off x="3970020" y="1333500"/>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14</xdr:col>
      <xdr:colOff>0</xdr:colOff>
      <xdr:row>27</xdr:row>
      <xdr:rowOff>0</xdr:rowOff>
    </xdr:from>
    <xdr:ext cx="755913" cy="392415"/>
    <xdr:sp macro="" textlink="">
      <xdr:nvSpPr>
        <xdr:cNvPr id="38" name="テキスト ボックス 37">
          <a:extLst>
            <a:ext uri="{FF2B5EF4-FFF2-40B4-BE49-F238E27FC236}">
              <a16:creationId xmlns:a16="http://schemas.microsoft.com/office/drawing/2014/main" id="{00000000-0008-0000-0500-00002B000000}"/>
            </a:ext>
          </a:extLst>
        </xdr:cNvPr>
        <xdr:cNvSpPr txBox="1"/>
      </xdr:nvSpPr>
      <xdr:spPr>
        <a:xfrm>
          <a:off x="10144125" y="23812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19</xdr:row>
      <xdr:rowOff>0</xdr:rowOff>
    </xdr:from>
    <xdr:ext cx="3570849" cy="392415"/>
    <xdr:sp macro="" textlink="">
      <xdr:nvSpPr>
        <xdr:cNvPr id="39" name="テキスト ボックス 38">
          <a:extLst>
            <a:ext uri="{FF2B5EF4-FFF2-40B4-BE49-F238E27FC236}">
              <a16:creationId xmlns:a16="http://schemas.microsoft.com/office/drawing/2014/main" id="{00000000-0008-0000-0500-00002F000000}"/>
            </a:ext>
          </a:extLst>
        </xdr:cNvPr>
        <xdr:cNvSpPr txBox="1"/>
      </xdr:nvSpPr>
      <xdr:spPr>
        <a:xfrm>
          <a:off x="4046220" y="519684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 かつ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24</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30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21</xdr:row>
      <xdr:rowOff>0</xdr:rowOff>
    </xdr:from>
    <xdr:ext cx="784830" cy="392415"/>
    <xdr:sp macro="" textlink="">
      <xdr:nvSpPr>
        <xdr:cNvPr id="41" name="テキスト ボックス 40">
          <a:extLst>
            <a:ext uri="{FF2B5EF4-FFF2-40B4-BE49-F238E27FC236}">
              <a16:creationId xmlns:a16="http://schemas.microsoft.com/office/drawing/2014/main" id="{00000000-0008-0000-0500-000034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83273" cy="392415"/>
    <xdr:sp macro="" textlink="">
      <xdr:nvSpPr>
        <xdr:cNvPr id="42" name="テキスト ボックス 41">
          <a:extLst>
            <a:ext uri="{FF2B5EF4-FFF2-40B4-BE49-F238E27FC236}">
              <a16:creationId xmlns:a16="http://schemas.microsoft.com/office/drawing/2014/main" id="{00000000-0008-0000-0500-000036000000}"/>
            </a:ext>
          </a:extLst>
        </xdr:cNvPr>
        <xdr:cNvSpPr txBox="1"/>
      </xdr:nvSpPr>
      <xdr:spPr>
        <a:xfrm>
          <a:off x="7829550" y="2524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28</xdr:row>
      <xdr:rowOff>0</xdr:rowOff>
    </xdr:from>
    <xdr:ext cx="3570849" cy="392415"/>
    <xdr:sp macro="" textlink="">
      <xdr:nvSpPr>
        <xdr:cNvPr id="43" name="テキスト ボックス 42">
          <a:extLst>
            <a:ext uri="{FF2B5EF4-FFF2-40B4-BE49-F238E27FC236}">
              <a16:creationId xmlns:a16="http://schemas.microsoft.com/office/drawing/2014/main" id="{00000000-0008-0000-0500-000037000000}"/>
            </a:ext>
          </a:extLst>
        </xdr:cNvPr>
        <xdr:cNvSpPr txBox="1"/>
      </xdr:nvSpPr>
      <xdr:spPr>
        <a:xfrm>
          <a:off x="4046220" y="732282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36</xdr:row>
      <xdr:rowOff>0</xdr:rowOff>
    </xdr:from>
    <xdr:ext cx="1183273" cy="392415"/>
    <xdr:sp macro="" textlink="">
      <xdr:nvSpPr>
        <xdr:cNvPr id="44" name="テキスト ボックス 43">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43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42</xdr:row>
      <xdr:rowOff>0</xdr:rowOff>
    </xdr:from>
    <xdr:ext cx="1183273" cy="392415"/>
    <xdr:sp macro="" textlink="">
      <xdr:nvSpPr>
        <xdr:cNvPr id="46" name="テキスト ボックス 45">
          <a:extLst>
            <a:ext uri="{FF2B5EF4-FFF2-40B4-BE49-F238E27FC236}">
              <a16:creationId xmlns:a16="http://schemas.microsoft.com/office/drawing/2014/main" id="{00000000-0008-0000-0500-000044000000}"/>
            </a:ext>
          </a:extLst>
        </xdr:cNvPr>
        <xdr:cNvSpPr txBox="1"/>
      </xdr:nvSpPr>
      <xdr:spPr>
        <a:xfrm>
          <a:off x="11439525" y="2667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43</xdr:row>
      <xdr:rowOff>0</xdr:rowOff>
    </xdr:from>
    <xdr:ext cx="1480213" cy="392415"/>
    <xdr:sp macro="" textlink="">
      <xdr:nvSpPr>
        <xdr:cNvPr id="47" name="テキスト ボックス 46">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30</xdr:row>
      <xdr:rowOff>0</xdr:rowOff>
    </xdr:from>
    <xdr:ext cx="784830" cy="392415"/>
    <xdr:sp macro="" textlink="">
      <xdr:nvSpPr>
        <xdr:cNvPr id="48" name="テキスト ボックス 47">
          <a:extLst>
            <a:ext uri="{FF2B5EF4-FFF2-40B4-BE49-F238E27FC236}">
              <a16:creationId xmlns:a16="http://schemas.microsoft.com/office/drawing/2014/main" id="{00000000-0008-0000-0500-000034000000}"/>
            </a:ext>
          </a:extLst>
        </xdr:cNvPr>
        <xdr:cNvSpPr txBox="1"/>
      </xdr:nvSpPr>
      <xdr:spPr>
        <a:xfrm>
          <a:off x="3794760" y="708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316</xdr:row>
      <xdr:rowOff>0</xdr:rowOff>
    </xdr:from>
    <xdr:ext cx="2308068" cy="392415"/>
    <xdr:sp macro="" textlink="">
      <xdr:nvSpPr>
        <xdr:cNvPr id="49" name="テキスト ボックス 48">
          <a:extLst>
            <a:ext uri="{FF2B5EF4-FFF2-40B4-BE49-F238E27FC236}">
              <a16:creationId xmlns:a16="http://schemas.microsoft.com/office/drawing/2014/main" id="{00000000-0008-0000-0500-000022000000}"/>
            </a:ext>
          </a:extLst>
        </xdr:cNvPr>
        <xdr:cNvSpPr txBox="1"/>
      </xdr:nvSpPr>
      <xdr:spPr>
        <a:xfrm>
          <a:off x="4219575" y="81200625"/>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325</xdr:row>
      <xdr:rowOff>0</xdr:rowOff>
    </xdr:from>
    <xdr:ext cx="2615844" cy="392415"/>
    <xdr:sp macro="" textlink="">
      <xdr:nvSpPr>
        <xdr:cNvPr id="50" name="テキスト ボックス 49">
          <a:extLst>
            <a:ext uri="{FF2B5EF4-FFF2-40B4-BE49-F238E27FC236}">
              <a16:creationId xmlns:a16="http://schemas.microsoft.com/office/drawing/2014/main" id="{00000000-0008-0000-0500-000029000000}"/>
            </a:ext>
          </a:extLst>
        </xdr:cNvPr>
        <xdr:cNvSpPr txBox="1"/>
      </xdr:nvSpPr>
      <xdr:spPr>
        <a:xfrm>
          <a:off x="4219575" y="8334375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334</xdr:row>
      <xdr:rowOff>0</xdr:rowOff>
    </xdr:from>
    <xdr:ext cx="2615844" cy="392415"/>
    <xdr:sp macro="" textlink="">
      <xdr:nvSpPr>
        <xdr:cNvPr id="51" name="テキスト ボックス 50">
          <a:extLst>
            <a:ext uri="{FF2B5EF4-FFF2-40B4-BE49-F238E27FC236}">
              <a16:creationId xmlns:a16="http://schemas.microsoft.com/office/drawing/2014/main" id="{00000000-0008-0000-0500-00002D000000}"/>
            </a:ext>
          </a:extLst>
        </xdr:cNvPr>
        <xdr:cNvSpPr txBox="1"/>
      </xdr:nvSpPr>
      <xdr:spPr>
        <a:xfrm>
          <a:off x="4219575" y="8548687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343</xdr:row>
      <xdr:rowOff>0</xdr:rowOff>
    </xdr:from>
    <xdr:ext cx="3385286" cy="392415"/>
    <xdr:sp macro="" textlink="">
      <xdr:nvSpPr>
        <xdr:cNvPr id="52" name="テキスト ボックス 51">
          <a:extLst>
            <a:ext uri="{FF2B5EF4-FFF2-40B4-BE49-F238E27FC236}">
              <a16:creationId xmlns:a16="http://schemas.microsoft.com/office/drawing/2014/main" id="{00000000-0008-0000-0500-000031000000}"/>
            </a:ext>
          </a:extLst>
        </xdr:cNvPr>
        <xdr:cNvSpPr txBox="1"/>
      </xdr:nvSpPr>
      <xdr:spPr>
        <a:xfrm>
          <a:off x="4219575" y="8763000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352</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4219575" y="8977312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361</xdr:row>
      <xdr:rowOff>0</xdr:rowOff>
    </xdr:from>
    <xdr:ext cx="2769733" cy="392415"/>
    <xdr:sp macro="" textlink="">
      <xdr:nvSpPr>
        <xdr:cNvPr id="54" name="テキスト ボックス 53">
          <a:extLst>
            <a:ext uri="{FF2B5EF4-FFF2-40B4-BE49-F238E27FC236}">
              <a16:creationId xmlns:a16="http://schemas.microsoft.com/office/drawing/2014/main" id="{00000000-0008-0000-0500-000039000000}"/>
            </a:ext>
          </a:extLst>
        </xdr:cNvPr>
        <xdr:cNvSpPr txBox="1"/>
      </xdr:nvSpPr>
      <xdr:spPr>
        <a:xfrm>
          <a:off x="4219575" y="9191625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370</xdr:row>
      <xdr:rowOff>0</xdr:rowOff>
    </xdr:from>
    <xdr:ext cx="2615844" cy="392415"/>
    <xdr:sp macro="" textlink="">
      <xdr:nvSpPr>
        <xdr:cNvPr id="55" name="テキスト ボックス 54">
          <a:extLst>
            <a:ext uri="{FF2B5EF4-FFF2-40B4-BE49-F238E27FC236}">
              <a16:creationId xmlns:a16="http://schemas.microsoft.com/office/drawing/2014/main" id="{00000000-0008-0000-0500-00003D000000}"/>
            </a:ext>
          </a:extLst>
        </xdr:cNvPr>
        <xdr:cNvSpPr txBox="1"/>
      </xdr:nvSpPr>
      <xdr:spPr>
        <a:xfrm>
          <a:off x="4219575" y="9405937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379</xdr:row>
      <xdr:rowOff>0</xdr:rowOff>
    </xdr:from>
    <xdr:ext cx="2923621" cy="392415"/>
    <xdr:sp macro="" textlink="">
      <xdr:nvSpPr>
        <xdr:cNvPr id="56" name="テキスト ボックス 55">
          <a:extLst>
            <a:ext uri="{FF2B5EF4-FFF2-40B4-BE49-F238E27FC236}">
              <a16:creationId xmlns:a16="http://schemas.microsoft.com/office/drawing/2014/main" id="{00000000-0008-0000-0500-000041000000}"/>
            </a:ext>
          </a:extLst>
        </xdr:cNvPr>
        <xdr:cNvSpPr txBox="1"/>
      </xdr:nvSpPr>
      <xdr:spPr>
        <a:xfrm>
          <a:off x="4219575" y="9620250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388</xdr:row>
      <xdr:rowOff>0</xdr:rowOff>
    </xdr:from>
    <xdr:ext cx="2000291" cy="392415"/>
    <xdr:sp macro="" textlink="">
      <xdr:nvSpPr>
        <xdr:cNvPr id="57" name="テキスト ボックス 56">
          <a:extLst>
            <a:ext uri="{FF2B5EF4-FFF2-40B4-BE49-F238E27FC236}">
              <a16:creationId xmlns:a16="http://schemas.microsoft.com/office/drawing/2014/main" id="{00000000-0008-0000-0500-000045000000}"/>
            </a:ext>
          </a:extLst>
        </xdr:cNvPr>
        <xdr:cNvSpPr txBox="1"/>
      </xdr:nvSpPr>
      <xdr:spPr>
        <a:xfrm>
          <a:off x="4219575" y="98345625"/>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397</xdr:row>
      <xdr:rowOff>0</xdr:rowOff>
    </xdr:from>
    <xdr:ext cx="2923621" cy="392415"/>
    <xdr:sp macro="" textlink="">
      <xdr:nvSpPr>
        <xdr:cNvPr id="58" name="テキスト ボックス 57">
          <a:extLst>
            <a:ext uri="{FF2B5EF4-FFF2-40B4-BE49-F238E27FC236}">
              <a16:creationId xmlns:a16="http://schemas.microsoft.com/office/drawing/2014/main" id="{00000000-0008-0000-0500-000048000000}"/>
            </a:ext>
          </a:extLst>
        </xdr:cNvPr>
        <xdr:cNvSpPr txBox="1"/>
      </xdr:nvSpPr>
      <xdr:spPr>
        <a:xfrm>
          <a:off x="4219575" y="10048875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406</xdr:row>
      <xdr:rowOff>0</xdr:rowOff>
    </xdr:from>
    <xdr:ext cx="2769733" cy="392415"/>
    <xdr:sp macro="" textlink="">
      <xdr:nvSpPr>
        <xdr:cNvPr id="59" name="テキスト ボックス 58">
          <a:extLst>
            <a:ext uri="{FF2B5EF4-FFF2-40B4-BE49-F238E27FC236}">
              <a16:creationId xmlns:a16="http://schemas.microsoft.com/office/drawing/2014/main" id="{00000000-0008-0000-0500-000049000000}"/>
            </a:ext>
          </a:extLst>
        </xdr:cNvPr>
        <xdr:cNvSpPr txBox="1"/>
      </xdr:nvSpPr>
      <xdr:spPr>
        <a:xfrm>
          <a:off x="4219575" y="102631875"/>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415</xdr:row>
      <xdr:rowOff>0</xdr:rowOff>
    </xdr:from>
    <xdr:ext cx="2461956" cy="392415"/>
    <xdr:sp macro="" textlink="">
      <xdr:nvSpPr>
        <xdr:cNvPr id="60" name="テキスト ボックス 59">
          <a:extLst>
            <a:ext uri="{FF2B5EF4-FFF2-40B4-BE49-F238E27FC236}">
              <a16:creationId xmlns:a16="http://schemas.microsoft.com/office/drawing/2014/main" id="{00000000-0008-0000-0500-00004A000000}"/>
            </a:ext>
          </a:extLst>
        </xdr:cNvPr>
        <xdr:cNvSpPr txBox="1"/>
      </xdr:nvSpPr>
      <xdr:spPr>
        <a:xfrm>
          <a:off x="4219575" y="10477500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424</xdr:row>
      <xdr:rowOff>0</xdr:rowOff>
    </xdr:from>
    <xdr:ext cx="2308068" cy="392415"/>
    <xdr:sp macro="" textlink="">
      <xdr:nvSpPr>
        <xdr:cNvPr id="61" name="テキスト ボックス 60">
          <a:extLst>
            <a:ext uri="{FF2B5EF4-FFF2-40B4-BE49-F238E27FC236}">
              <a16:creationId xmlns:a16="http://schemas.microsoft.com/office/drawing/2014/main" id="{00000000-0008-0000-0500-00004B000000}"/>
            </a:ext>
          </a:extLst>
        </xdr:cNvPr>
        <xdr:cNvSpPr txBox="1"/>
      </xdr:nvSpPr>
      <xdr:spPr>
        <a:xfrm>
          <a:off x="4219575" y="106918125"/>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426</xdr:row>
      <xdr:rowOff>0</xdr:rowOff>
    </xdr:from>
    <xdr:ext cx="1183273" cy="392415"/>
    <xdr:sp macro="" textlink="">
      <xdr:nvSpPr>
        <xdr:cNvPr id="62" name="テキスト ボックス 61">
          <a:extLst>
            <a:ext uri="{FF2B5EF4-FFF2-40B4-BE49-F238E27FC236}">
              <a16:creationId xmlns:a16="http://schemas.microsoft.com/office/drawing/2014/main" id="{00000000-0008-0000-0500-00004F000000}"/>
            </a:ext>
          </a:extLst>
        </xdr:cNvPr>
        <xdr:cNvSpPr txBox="1"/>
      </xdr:nvSpPr>
      <xdr:spPr>
        <a:xfrm>
          <a:off x="7829550" y="10739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150</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B000000}"/>
            </a:ext>
          </a:extLst>
        </xdr:cNvPr>
        <xdr:cNvSpPr txBox="1"/>
      </xdr:nvSpPr>
      <xdr:spPr>
        <a:xfrm>
          <a:off x="78295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147</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3C000000}"/>
            </a:ext>
          </a:extLst>
        </xdr:cNvPr>
        <xdr:cNvSpPr txBox="1"/>
      </xdr:nvSpPr>
      <xdr:spPr>
        <a:xfrm>
          <a:off x="11439525"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148</xdr:row>
      <xdr:rowOff>0</xdr:rowOff>
    </xdr:from>
    <xdr:ext cx="1441100" cy="392415"/>
    <xdr:sp macro="" textlink="">
      <xdr:nvSpPr>
        <xdr:cNvPr id="65" name="テキスト ボックス 64">
          <a:extLst>
            <a:ext uri="{FF2B5EF4-FFF2-40B4-BE49-F238E27FC236}">
              <a16:creationId xmlns:a16="http://schemas.microsoft.com/office/drawing/2014/main" id="{00000000-0008-0000-0500-00003E000000}"/>
            </a:ext>
          </a:extLst>
        </xdr:cNvPr>
        <xdr:cNvSpPr txBox="1"/>
      </xdr:nvSpPr>
      <xdr:spPr>
        <a:xfrm>
          <a:off x="9124950"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63</xdr:row>
      <xdr:rowOff>0</xdr:rowOff>
    </xdr:from>
    <xdr:ext cx="1183273" cy="392415"/>
    <xdr:sp macro="" textlink="">
      <xdr:nvSpPr>
        <xdr:cNvPr id="66" name="テキスト ボックス 65">
          <a:extLst>
            <a:ext uri="{FF2B5EF4-FFF2-40B4-BE49-F238E27FC236}">
              <a16:creationId xmlns:a16="http://schemas.microsoft.com/office/drawing/2014/main" id="{00000000-0008-0000-0500-00003F000000}"/>
            </a:ext>
          </a:extLst>
        </xdr:cNvPr>
        <xdr:cNvSpPr txBox="1"/>
      </xdr:nvSpPr>
      <xdr:spPr>
        <a:xfrm>
          <a:off x="7829550" y="3167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60</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0000000}"/>
            </a:ext>
          </a:extLst>
        </xdr:cNvPr>
        <xdr:cNvSpPr txBox="1"/>
      </xdr:nvSpPr>
      <xdr:spPr>
        <a:xfrm>
          <a:off x="11439525" y="3095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61</xdr:row>
      <xdr:rowOff>0</xdr:rowOff>
    </xdr:from>
    <xdr:ext cx="1441100" cy="392415"/>
    <xdr:sp macro="" textlink="">
      <xdr:nvSpPr>
        <xdr:cNvPr id="68" name="テキスト ボックス 67">
          <a:extLst>
            <a:ext uri="{FF2B5EF4-FFF2-40B4-BE49-F238E27FC236}">
              <a16:creationId xmlns:a16="http://schemas.microsoft.com/office/drawing/2014/main" id="{00000000-0008-0000-0500-000042000000}"/>
            </a:ext>
          </a:extLst>
        </xdr:cNvPr>
        <xdr:cNvSpPr txBox="1"/>
      </xdr:nvSpPr>
      <xdr:spPr>
        <a:xfrm>
          <a:off x="9124950" y="3119437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78</xdr:row>
      <xdr:rowOff>0</xdr:rowOff>
    </xdr:from>
    <xdr:ext cx="1183273" cy="392415"/>
    <xdr:sp macro="" textlink="">
      <xdr:nvSpPr>
        <xdr:cNvPr id="69" name="テキスト ボックス 68">
          <a:extLst>
            <a:ext uri="{FF2B5EF4-FFF2-40B4-BE49-F238E27FC236}">
              <a16:creationId xmlns:a16="http://schemas.microsoft.com/office/drawing/2014/main" id="{00000000-0008-0000-0500-000047000000}"/>
            </a:ext>
          </a:extLst>
        </xdr:cNvPr>
        <xdr:cNvSpPr txBox="1"/>
      </xdr:nvSpPr>
      <xdr:spPr>
        <a:xfrm>
          <a:off x="78295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75</xdr:row>
      <xdr:rowOff>0</xdr:rowOff>
    </xdr:from>
    <xdr:ext cx="1183273" cy="392415"/>
    <xdr:sp macro="" textlink="">
      <xdr:nvSpPr>
        <xdr:cNvPr id="70" name="テキスト ボックス 69">
          <a:extLst>
            <a:ext uri="{FF2B5EF4-FFF2-40B4-BE49-F238E27FC236}">
              <a16:creationId xmlns:a16="http://schemas.microsoft.com/office/drawing/2014/main" id="{00000000-0008-0000-0500-00004C000000}"/>
            </a:ext>
          </a:extLst>
        </xdr:cNvPr>
        <xdr:cNvSpPr txBox="1"/>
      </xdr:nvSpPr>
      <xdr:spPr>
        <a:xfrm>
          <a:off x="11439525"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76</xdr:row>
      <xdr:rowOff>0</xdr:rowOff>
    </xdr:from>
    <xdr:ext cx="1480213" cy="392415"/>
    <xdr:sp macro="" textlink="">
      <xdr:nvSpPr>
        <xdr:cNvPr id="71" name="テキスト ボックス 70">
          <a:extLst>
            <a:ext uri="{FF2B5EF4-FFF2-40B4-BE49-F238E27FC236}">
              <a16:creationId xmlns:a16="http://schemas.microsoft.com/office/drawing/2014/main" id="{00000000-0008-0000-0500-00004D000000}"/>
            </a:ext>
          </a:extLst>
        </xdr:cNvPr>
        <xdr:cNvSpPr txBox="1"/>
      </xdr:nvSpPr>
      <xdr:spPr>
        <a:xfrm>
          <a:off x="9124950" y="3476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440</xdr:row>
      <xdr:rowOff>0</xdr:rowOff>
    </xdr:from>
    <xdr:ext cx="1183273" cy="392415"/>
    <xdr:sp macro="" textlink="">
      <xdr:nvSpPr>
        <xdr:cNvPr id="72" name="テキスト ボックス 71">
          <a:extLst>
            <a:ext uri="{FF2B5EF4-FFF2-40B4-BE49-F238E27FC236}">
              <a16:creationId xmlns:a16="http://schemas.microsoft.com/office/drawing/2014/main" id="{00000000-0008-0000-0500-00004E000000}"/>
            </a:ext>
          </a:extLst>
        </xdr:cNvPr>
        <xdr:cNvSpPr txBox="1"/>
      </xdr:nvSpPr>
      <xdr:spPr>
        <a:xfrm>
          <a:off x="7829550" y="1107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437</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50000000}"/>
            </a:ext>
          </a:extLst>
        </xdr:cNvPr>
        <xdr:cNvSpPr txBox="1"/>
      </xdr:nvSpPr>
      <xdr:spPr>
        <a:xfrm>
          <a:off x="11439525" y="1100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438</xdr:row>
      <xdr:rowOff>0</xdr:rowOff>
    </xdr:from>
    <xdr:ext cx="1480213" cy="392415"/>
    <xdr:sp macro="" textlink="">
      <xdr:nvSpPr>
        <xdr:cNvPr id="74" name="テキスト ボックス 73">
          <a:extLst>
            <a:ext uri="{FF2B5EF4-FFF2-40B4-BE49-F238E27FC236}">
              <a16:creationId xmlns:a16="http://schemas.microsoft.com/office/drawing/2014/main" id="{00000000-0008-0000-0500-000051000000}"/>
            </a:ext>
          </a:extLst>
        </xdr:cNvPr>
        <xdr:cNvSpPr txBox="1"/>
      </xdr:nvSpPr>
      <xdr:spPr>
        <a:xfrm>
          <a:off x="9124950" y="1102518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58</xdr:row>
      <xdr:rowOff>0</xdr:rowOff>
    </xdr:from>
    <xdr:ext cx="2751010" cy="392415"/>
    <xdr:sp macro="" textlink="">
      <xdr:nvSpPr>
        <xdr:cNvPr id="75" name="テキスト ボックス 74">
          <a:extLst>
            <a:ext uri="{FF2B5EF4-FFF2-40B4-BE49-F238E27FC236}">
              <a16:creationId xmlns:a16="http://schemas.microsoft.com/office/drawing/2014/main" id="{00000000-0008-0000-0500-000053000000}"/>
            </a:ext>
          </a:extLst>
        </xdr:cNvPr>
        <xdr:cNvSpPr txBox="1"/>
      </xdr:nvSpPr>
      <xdr:spPr>
        <a:xfrm>
          <a:off x="4495800" y="30480000"/>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57</xdr:row>
      <xdr:rowOff>0</xdr:rowOff>
    </xdr:from>
    <xdr:ext cx="755913" cy="392415"/>
    <xdr:sp macro="" textlink="">
      <xdr:nvSpPr>
        <xdr:cNvPr id="76" name="テキスト ボックス 75">
          <a:extLst>
            <a:ext uri="{FF2B5EF4-FFF2-40B4-BE49-F238E27FC236}">
              <a16:creationId xmlns:a16="http://schemas.microsoft.com/office/drawing/2014/main" id="{00000000-0008-0000-0500-000056000000}"/>
            </a:ext>
          </a:extLst>
        </xdr:cNvPr>
        <xdr:cNvSpPr txBox="1"/>
      </xdr:nvSpPr>
      <xdr:spPr>
        <a:xfrm>
          <a:off x="7829550" y="3024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105</xdr:row>
      <xdr:rowOff>0</xdr:rowOff>
    </xdr:from>
    <xdr:ext cx="1183273" cy="392415"/>
    <xdr:sp macro="" textlink="">
      <xdr:nvSpPr>
        <xdr:cNvPr id="77" name="テキスト ボックス 76">
          <a:extLst>
            <a:ext uri="{FF2B5EF4-FFF2-40B4-BE49-F238E27FC236}">
              <a16:creationId xmlns:a16="http://schemas.microsoft.com/office/drawing/2014/main" id="{00000000-0008-0000-0500-000059000000}"/>
            </a:ext>
          </a:extLst>
        </xdr:cNvPr>
        <xdr:cNvSpPr txBox="1"/>
      </xdr:nvSpPr>
      <xdr:spPr>
        <a:xfrm>
          <a:off x="7829550" y="416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102</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5A000000}"/>
            </a:ext>
          </a:extLst>
        </xdr:cNvPr>
        <xdr:cNvSpPr txBox="1"/>
      </xdr:nvSpPr>
      <xdr:spPr>
        <a:xfrm>
          <a:off x="11439525" y="409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103</xdr:row>
      <xdr:rowOff>0</xdr:rowOff>
    </xdr:from>
    <xdr:ext cx="1441100" cy="392415"/>
    <xdr:sp macro="" textlink="">
      <xdr:nvSpPr>
        <xdr:cNvPr id="79" name="テキスト ボックス 78">
          <a:extLst>
            <a:ext uri="{FF2B5EF4-FFF2-40B4-BE49-F238E27FC236}">
              <a16:creationId xmlns:a16="http://schemas.microsoft.com/office/drawing/2014/main" id="{00000000-0008-0000-0500-00005B000000}"/>
            </a:ext>
          </a:extLst>
        </xdr:cNvPr>
        <xdr:cNvSpPr txBox="1"/>
      </xdr:nvSpPr>
      <xdr:spPr>
        <a:xfrm>
          <a:off x="9124950" y="411956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120</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C000000}"/>
            </a:ext>
          </a:extLst>
        </xdr:cNvPr>
        <xdr:cNvSpPr txBox="1"/>
      </xdr:nvSpPr>
      <xdr:spPr>
        <a:xfrm>
          <a:off x="7829550" y="452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117</xdr:row>
      <xdr:rowOff>0</xdr:rowOff>
    </xdr:from>
    <xdr:ext cx="1183273" cy="392415"/>
    <xdr:sp macro="" textlink="">
      <xdr:nvSpPr>
        <xdr:cNvPr id="81" name="テキスト ボックス 80">
          <a:extLst>
            <a:ext uri="{FF2B5EF4-FFF2-40B4-BE49-F238E27FC236}">
              <a16:creationId xmlns:a16="http://schemas.microsoft.com/office/drawing/2014/main" id="{00000000-0008-0000-0500-00005D000000}"/>
            </a:ext>
          </a:extLst>
        </xdr:cNvPr>
        <xdr:cNvSpPr txBox="1"/>
      </xdr:nvSpPr>
      <xdr:spPr>
        <a:xfrm>
          <a:off x="11439525" y="445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118</xdr:row>
      <xdr:rowOff>0</xdr:rowOff>
    </xdr:from>
    <xdr:ext cx="1480213" cy="392415"/>
    <xdr:sp macro="" textlink="">
      <xdr:nvSpPr>
        <xdr:cNvPr id="82" name="テキスト ボックス 81">
          <a:extLst>
            <a:ext uri="{FF2B5EF4-FFF2-40B4-BE49-F238E27FC236}">
              <a16:creationId xmlns:a16="http://schemas.microsoft.com/office/drawing/2014/main" id="{00000000-0008-0000-0500-00005E000000}"/>
            </a:ext>
          </a:extLst>
        </xdr:cNvPr>
        <xdr:cNvSpPr txBox="1"/>
      </xdr:nvSpPr>
      <xdr:spPr>
        <a:xfrm>
          <a:off x="9124950" y="4476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90</xdr:row>
      <xdr:rowOff>0</xdr:rowOff>
    </xdr:from>
    <xdr:ext cx="755913" cy="392415"/>
    <xdr:sp macro="" textlink="">
      <xdr:nvSpPr>
        <xdr:cNvPr id="83" name="テキスト ボックス 82">
          <a:extLst>
            <a:ext uri="{FF2B5EF4-FFF2-40B4-BE49-F238E27FC236}">
              <a16:creationId xmlns:a16="http://schemas.microsoft.com/office/drawing/2014/main" id="{00000000-0008-0000-0500-000065000000}"/>
            </a:ext>
          </a:extLst>
        </xdr:cNvPr>
        <xdr:cNvSpPr txBox="1"/>
      </xdr:nvSpPr>
      <xdr:spPr>
        <a:xfrm>
          <a:off x="4219575" y="381000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132</xdr:row>
      <xdr:rowOff>0</xdr:rowOff>
    </xdr:from>
    <xdr:ext cx="755913" cy="392415"/>
    <xdr:sp macro="" textlink="">
      <xdr:nvSpPr>
        <xdr:cNvPr id="84" name="テキスト ボックス 83">
          <a:extLst>
            <a:ext uri="{FF2B5EF4-FFF2-40B4-BE49-F238E27FC236}">
              <a16:creationId xmlns:a16="http://schemas.microsoft.com/office/drawing/2014/main" id="{00000000-0008-0000-0500-000066000000}"/>
            </a:ext>
          </a:extLst>
        </xdr:cNvPr>
        <xdr:cNvSpPr txBox="1"/>
      </xdr:nvSpPr>
      <xdr:spPr>
        <a:xfrm>
          <a:off x="4219575"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144</xdr:row>
      <xdr:rowOff>0</xdr:rowOff>
    </xdr:from>
    <xdr:ext cx="2477601" cy="392415"/>
    <xdr:sp macro="" textlink="">
      <xdr:nvSpPr>
        <xdr:cNvPr id="88" name="テキスト ボックス 87">
          <a:extLst>
            <a:ext uri="{FF2B5EF4-FFF2-40B4-BE49-F238E27FC236}">
              <a16:creationId xmlns:a16="http://schemas.microsoft.com/office/drawing/2014/main" id="{00000000-0008-0000-0500-00006A000000}"/>
            </a:ext>
          </a:extLst>
        </xdr:cNvPr>
        <xdr:cNvSpPr txBox="1"/>
      </xdr:nvSpPr>
      <xdr:spPr>
        <a:xfrm>
          <a:off x="7829550" y="509587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168</xdr:row>
      <xdr:rowOff>0</xdr:rowOff>
    </xdr:from>
    <xdr:ext cx="1183273" cy="392415"/>
    <xdr:sp macro="" textlink="">
      <xdr:nvSpPr>
        <xdr:cNvPr id="89" name="テキスト ボックス 88">
          <a:extLst>
            <a:ext uri="{FF2B5EF4-FFF2-40B4-BE49-F238E27FC236}">
              <a16:creationId xmlns:a16="http://schemas.microsoft.com/office/drawing/2014/main" id="{00000000-0008-0000-0500-00006D000000}"/>
            </a:ext>
          </a:extLst>
        </xdr:cNvPr>
        <xdr:cNvSpPr txBox="1"/>
      </xdr:nvSpPr>
      <xdr:spPr>
        <a:xfrm>
          <a:off x="78295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165</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6E000000}"/>
            </a:ext>
          </a:extLst>
        </xdr:cNvPr>
        <xdr:cNvSpPr txBox="1"/>
      </xdr:nvSpPr>
      <xdr:spPr>
        <a:xfrm>
          <a:off x="11439525"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166</xdr:row>
      <xdr:rowOff>0</xdr:rowOff>
    </xdr:from>
    <xdr:ext cx="1441100" cy="392415"/>
    <xdr:sp macro="" textlink="">
      <xdr:nvSpPr>
        <xdr:cNvPr id="91" name="テキスト ボックス 90">
          <a:extLst>
            <a:ext uri="{FF2B5EF4-FFF2-40B4-BE49-F238E27FC236}">
              <a16:creationId xmlns:a16="http://schemas.microsoft.com/office/drawing/2014/main" id="{00000000-0008-0000-0500-00006F000000}"/>
            </a:ext>
          </a:extLst>
        </xdr:cNvPr>
        <xdr:cNvSpPr txBox="1"/>
      </xdr:nvSpPr>
      <xdr:spPr>
        <a:xfrm>
          <a:off x="9124950" y="604837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162</xdr:row>
      <xdr:rowOff>0</xdr:rowOff>
    </xdr:from>
    <xdr:ext cx="2477601" cy="392415"/>
    <xdr:sp macro="" textlink="">
      <xdr:nvSpPr>
        <xdr:cNvPr id="92" name="テキスト ボックス 91">
          <a:extLst>
            <a:ext uri="{FF2B5EF4-FFF2-40B4-BE49-F238E27FC236}">
              <a16:creationId xmlns:a16="http://schemas.microsoft.com/office/drawing/2014/main" id="{00000000-0008-0000-0500-000073000000}"/>
            </a:ext>
          </a:extLst>
        </xdr:cNvPr>
        <xdr:cNvSpPr txBox="1"/>
      </xdr:nvSpPr>
      <xdr:spPr>
        <a:xfrm>
          <a:off x="7829550" y="595312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198</xdr:row>
      <xdr:rowOff>0</xdr:rowOff>
    </xdr:from>
    <xdr:ext cx="1183273" cy="392415"/>
    <xdr:sp macro="" textlink="">
      <xdr:nvSpPr>
        <xdr:cNvPr id="93" name="テキスト ボックス 92">
          <a:extLst>
            <a:ext uri="{FF2B5EF4-FFF2-40B4-BE49-F238E27FC236}">
              <a16:creationId xmlns:a16="http://schemas.microsoft.com/office/drawing/2014/main" id="{00000000-0008-0000-0500-000075000000}"/>
            </a:ext>
          </a:extLst>
        </xdr:cNvPr>
        <xdr:cNvSpPr txBox="1"/>
      </xdr:nvSpPr>
      <xdr:spPr>
        <a:xfrm>
          <a:off x="78295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195</xdr:row>
      <xdr:rowOff>0</xdr:rowOff>
    </xdr:from>
    <xdr:ext cx="1183273" cy="392415"/>
    <xdr:sp macro="" textlink="">
      <xdr:nvSpPr>
        <xdr:cNvPr id="94" name="テキスト ボックス 93">
          <a:extLst>
            <a:ext uri="{FF2B5EF4-FFF2-40B4-BE49-F238E27FC236}">
              <a16:creationId xmlns:a16="http://schemas.microsoft.com/office/drawing/2014/main" id="{00000000-0008-0000-0500-000076000000}"/>
            </a:ext>
          </a:extLst>
        </xdr:cNvPr>
        <xdr:cNvSpPr txBox="1"/>
      </xdr:nvSpPr>
      <xdr:spPr>
        <a:xfrm>
          <a:off x="11439525"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196</xdr:row>
      <xdr:rowOff>0</xdr:rowOff>
    </xdr:from>
    <xdr:ext cx="1480213" cy="392415"/>
    <xdr:sp macro="" textlink="">
      <xdr:nvSpPr>
        <xdr:cNvPr id="95" name="テキスト ボックス 94">
          <a:extLst>
            <a:ext uri="{FF2B5EF4-FFF2-40B4-BE49-F238E27FC236}">
              <a16:creationId xmlns:a16="http://schemas.microsoft.com/office/drawing/2014/main" id="{00000000-0008-0000-0500-000077000000}"/>
            </a:ext>
          </a:extLst>
        </xdr:cNvPr>
        <xdr:cNvSpPr txBox="1"/>
      </xdr:nvSpPr>
      <xdr:spPr>
        <a:xfrm>
          <a:off x="9124950"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179</xdr:row>
      <xdr:rowOff>175260</xdr:rowOff>
    </xdr:from>
    <xdr:ext cx="1183273" cy="392415"/>
    <xdr:sp macro="" textlink="">
      <xdr:nvSpPr>
        <xdr:cNvPr id="96" name="テキスト ボックス 95">
          <a:extLst>
            <a:ext uri="{FF2B5EF4-FFF2-40B4-BE49-F238E27FC236}">
              <a16:creationId xmlns:a16="http://schemas.microsoft.com/office/drawing/2014/main" id="{00000000-0008-0000-0500-000079000000}"/>
            </a:ext>
          </a:extLst>
        </xdr:cNvPr>
        <xdr:cNvSpPr txBox="1"/>
      </xdr:nvSpPr>
      <xdr:spPr>
        <a:xfrm>
          <a:off x="8997315" y="6375463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186</xdr:row>
      <xdr:rowOff>0</xdr:rowOff>
    </xdr:from>
    <xdr:ext cx="1183273" cy="392415"/>
    <xdr:sp macro="" textlink="">
      <xdr:nvSpPr>
        <xdr:cNvPr id="97" name="テキスト ボックス 96">
          <a:extLst>
            <a:ext uri="{FF2B5EF4-FFF2-40B4-BE49-F238E27FC236}">
              <a16:creationId xmlns:a16="http://schemas.microsoft.com/office/drawing/2014/main" id="{00000000-0008-0000-0500-00007B000000}"/>
            </a:ext>
          </a:extLst>
        </xdr:cNvPr>
        <xdr:cNvSpPr txBox="1"/>
      </xdr:nvSpPr>
      <xdr:spPr>
        <a:xfrm>
          <a:off x="101441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183</xdr:row>
      <xdr:rowOff>0</xdr:rowOff>
    </xdr:from>
    <xdr:ext cx="3139129" cy="392415"/>
    <xdr:sp macro="" textlink="">
      <xdr:nvSpPr>
        <xdr:cNvPr id="98" name="テキスト ボックス 97">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231</xdr:row>
      <xdr:rowOff>0</xdr:rowOff>
    </xdr:from>
    <xdr:ext cx="1183273" cy="392415"/>
    <xdr:sp macro="" textlink="">
      <xdr:nvSpPr>
        <xdr:cNvPr id="99" name="テキスト ボックス 98">
          <a:extLst>
            <a:ext uri="{FF2B5EF4-FFF2-40B4-BE49-F238E27FC236}">
              <a16:creationId xmlns:a16="http://schemas.microsoft.com/office/drawing/2014/main" id="{00000000-0008-0000-0500-00007E000000}"/>
            </a:ext>
          </a:extLst>
        </xdr:cNvPr>
        <xdr:cNvSpPr txBox="1"/>
      </xdr:nvSpPr>
      <xdr:spPr>
        <a:xfrm>
          <a:off x="7829550" y="7596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891540</xdr:colOff>
      <xdr:row>212</xdr:row>
      <xdr:rowOff>175260</xdr:rowOff>
    </xdr:from>
    <xdr:ext cx="1183273" cy="392415"/>
    <xdr:sp macro="" textlink="">
      <xdr:nvSpPr>
        <xdr:cNvPr id="100" name="テキスト ボックス 99">
          <a:extLst>
            <a:ext uri="{FF2B5EF4-FFF2-40B4-BE49-F238E27FC236}">
              <a16:creationId xmlns:a16="http://schemas.microsoft.com/office/drawing/2014/main" id="{00000000-0008-0000-0500-000081000000}"/>
            </a:ext>
          </a:extLst>
        </xdr:cNvPr>
        <xdr:cNvSpPr txBox="1"/>
      </xdr:nvSpPr>
      <xdr:spPr>
        <a:xfrm>
          <a:off x="8997315" y="71612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219</xdr:row>
      <xdr:rowOff>0</xdr:rowOff>
    </xdr:from>
    <xdr:ext cx="1183273" cy="392415"/>
    <xdr:sp macro="" textlink="">
      <xdr:nvSpPr>
        <xdr:cNvPr id="101" name="テキスト ボックス 100">
          <a:extLst>
            <a:ext uri="{FF2B5EF4-FFF2-40B4-BE49-F238E27FC236}">
              <a16:creationId xmlns:a16="http://schemas.microsoft.com/office/drawing/2014/main" id="{00000000-0008-0000-0500-000083000000}"/>
            </a:ext>
          </a:extLst>
        </xdr:cNvPr>
        <xdr:cNvSpPr txBox="1"/>
      </xdr:nvSpPr>
      <xdr:spPr>
        <a:xfrm>
          <a:off x="10144125" y="7310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243</xdr:row>
      <xdr:rowOff>0</xdr:rowOff>
    </xdr:from>
    <xdr:ext cx="755913" cy="392415"/>
    <xdr:sp macro="" textlink="">
      <xdr:nvSpPr>
        <xdr:cNvPr id="102" name="テキスト ボックス 101">
          <a:extLst>
            <a:ext uri="{FF2B5EF4-FFF2-40B4-BE49-F238E27FC236}">
              <a16:creationId xmlns:a16="http://schemas.microsoft.com/office/drawing/2014/main" id="{00000000-0008-0000-0500-000086000000}"/>
            </a:ext>
          </a:extLst>
        </xdr:cNvPr>
        <xdr:cNvSpPr txBox="1"/>
      </xdr:nvSpPr>
      <xdr:spPr>
        <a:xfrm>
          <a:off x="4219575" y="788193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7</xdr:col>
      <xdr:colOff>0</xdr:colOff>
      <xdr:row>55</xdr:row>
      <xdr:rowOff>0</xdr:rowOff>
    </xdr:from>
    <xdr:ext cx="1922449" cy="392415"/>
    <xdr:sp macro="" textlink="">
      <xdr:nvSpPr>
        <xdr:cNvPr id="103" name="テキスト ボックス 102">
          <a:extLst>
            <a:ext uri="{FF2B5EF4-FFF2-40B4-BE49-F238E27FC236}">
              <a16:creationId xmlns:a16="http://schemas.microsoft.com/office/drawing/2014/main" id="{6CFABEA0-A65D-49F1-8AE4-14D6BA7EE443}"/>
            </a:ext>
          </a:extLst>
        </xdr:cNvPr>
        <xdr:cNvSpPr txBox="1"/>
      </xdr:nvSpPr>
      <xdr:spPr>
        <a:xfrm>
          <a:off x="4495800" y="29765625"/>
          <a:ext cx="19224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入院中</a:t>
          </a:r>
          <a:r>
            <a:rPr kumimoji="1" lang="en-US" altLang="ja-JP" sz="1200" b="1">
              <a:solidFill>
                <a:srgbClr val="FF0000"/>
              </a:solidFill>
              <a:latin typeface="メイリオ" panose="020B0604030504040204" pitchFamily="50" charset="-128"/>
              <a:ea typeface="メイリオ" panose="020B0604030504040204" pitchFamily="50" charset="-128"/>
            </a:rPr>
            <a:t>F</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（退院済み）</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189</xdr:row>
      <xdr:rowOff>0</xdr:rowOff>
    </xdr:from>
    <xdr:ext cx="3139129" cy="392415"/>
    <xdr:sp macro="" textlink="">
      <xdr:nvSpPr>
        <xdr:cNvPr id="105" name="テキスト ボックス 104">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216</xdr:row>
      <xdr:rowOff>0</xdr:rowOff>
    </xdr:from>
    <xdr:ext cx="3819122" cy="392415"/>
    <xdr:sp macro="" textlink="">
      <xdr:nvSpPr>
        <xdr:cNvPr id="106" name="テキスト ボックス 105">
          <a:extLst>
            <a:ext uri="{FF2B5EF4-FFF2-40B4-BE49-F238E27FC236}">
              <a16:creationId xmlns:a16="http://schemas.microsoft.com/office/drawing/2014/main" id="{00000000-0008-0000-0500-00007D000000}"/>
            </a:ext>
          </a:extLst>
        </xdr:cNvPr>
        <xdr:cNvSpPr txBox="1"/>
      </xdr:nvSpPr>
      <xdr:spPr>
        <a:xfrm>
          <a:off x="7829550" y="723900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222</xdr:row>
      <xdr:rowOff>0</xdr:rowOff>
    </xdr:from>
    <xdr:ext cx="3819122" cy="392415"/>
    <xdr:sp macro="" textlink="">
      <xdr:nvSpPr>
        <xdr:cNvPr id="107" name="テキスト ボックス 106">
          <a:extLst>
            <a:ext uri="{FF2B5EF4-FFF2-40B4-BE49-F238E27FC236}">
              <a16:creationId xmlns:a16="http://schemas.microsoft.com/office/drawing/2014/main" id="{00000000-0008-0000-0500-00007D000000}"/>
            </a:ext>
          </a:extLst>
        </xdr:cNvPr>
        <xdr:cNvSpPr txBox="1"/>
      </xdr:nvSpPr>
      <xdr:spPr>
        <a:xfrm>
          <a:off x="7829550" y="7381875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193</xdr:row>
      <xdr:rowOff>0</xdr:rowOff>
    </xdr:from>
    <xdr:ext cx="4831900" cy="392415"/>
    <xdr:sp macro="" textlink="">
      <xdr:nvSpPr>
        <xdr:cNvPr id="108" name="テキスト ボックス 107">
          <a:extLst>
            <a:ext uri="{FF2B5EF4-FFF2-40B4-BE49-F238E27FC236}">
              <a16:creationId xmlns:a16="http://schemas.microsoft.com/office/drawing/2014/main" id="{00000000-0008-0000-0500-00007D000000}"/>
            </a:ext>
          </a:extLst>
        </xdr:cNvPr>
        <xdr:cNvSpPr txBox="1"/>
      </xdr:nvSpPr>
      <xdr:spPr>
        <a:xfrm>
          <a:off x="7829550" y="66913125"/>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11</xdr:col>
      <xdr:colOff>0</xdr:colOff>
      <xdr:row>226</xdr:row>
      <xdr:rowOff>0</xdr:rowOff>
    </xdr:from>
    <xdr:ext cx="5511894" cy="392415"/>
    <xdr:sp macro="" textlink="">
      <xdr:nvSpPr>
        <xdr:cNvPr id="109" name="テキスト ボックス 108">
          <a:extLst>
            <a:ext uri="{FF2B5EF4-FFF2-40B4-BE49-F238E27FC236}">
              <a16:creationId xmlns:a16="http://schemas.microsoft.com/office/drawing/2014/main" id="{00000000-0008-0000-0500-00007D000000}"/>
            </a:ext>
          </a:extLst>
        </xdr:cNvPr>
        <xdr:cNvSpPr txBox="1"/>
      </xdr:nvSpPr>
      <xdr:spPr>
        <a:xfrm>
          <a:off x="7829550" y="74771250"/>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209</xdr:row>
      <xdr:rowOff>175260</xdr:rowOff>
    </xdr:from>
    <xdr:ext cx="784830" cy="392415"/>
    <xdr:sp macro="" textlink="">
      <xdr:nvSpPr>
        <xdr:cNvPr id="110" name="テキスト ボックス 109">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229</xdr:row>
      <xdr:rowOff>0</xdr:rowOff>
    </xdr:from>
    <xdr:ext cx="1480213" cy="392415"/>
    <xdr:sp macro="" textlink="">
      <xdr:nvSpPr>
        <xdr:cNvPr id="111" name="テキスト ボックス 110">
          <a:extLst>
            <a:ext uri="{FF2B5EF4-FFF2-40B4-BE49-F238E27FC236}">
              <a16:creationId xmlns:a16="http://schemas.microsoft.com/office/drawing/2014/main" id="{00000000-0008-0000-0500-000080000000}"/>
            </a:ext>
          </a:extLst>
        </xdr:cNvPr>
        <xdr:cNvSpPr txBox="1"/>
      </xdr:nvSpPr>
      <xdr:spPr>
        <a:xfrm>
          <a:off x="9124950" y="75485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228</xdr:row>
      <xdr:rowOff>0</xdr:rowOff>
    </xdr:from>
    <xdr:ext cx="1183273" cy="392415"/>
    <xdr:sp macro="" textlink="">
      <xdr:nvSpPr>
        <xdr:cNvPr id="112" name="テキスト ボックス 111">
          <a:extLst>
            <a:ext uri="{FF2B5EF4-FFF2-40B4-BE49-F238E27FC236}">
              <a16:creationId xmlns:a16="http://schemas.microsoft.com/office/drawing/2014/main" id="{00000000-0008-0000-0500-00007F000000}"/>
            </a:ext>
          </a:extLst>
        </xdr:cNvPr>
        <xdr:cNvSpPr txBox="1"/>
      </xdr:nvSpPr>
      <xdr:spPr>
        <a:xfrm>
          <a:off x="11439525" y="7524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178</xdr:row>
      <xdr:rowOff>0</xdr:rowOff>
    </xdr:from>
    <xdr:ext cx="1877437" cy="392415"/>
    <xdr:sp macro="" textlink="">
      <xdr:nvSpPr>
        <xdr:cNvPr id="113" name="テキスト ボックス 112">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208</xdr:row>
      <xdr:rowOff>0</xdr:rowOff>
    </xdr:from>
    <xdr:ext cx="1877437" cy="392415"/>
    <xdr:sp macro="" textlink="">
      <xdr:nvSpPr>
        <xdr:cNvPr id="114" name="テキスト ボックス 113">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211</xdr:row>
      <xdr:rowOff>0</xdr:rowOff>
    </xdr:from>
    <xdr:ext cx="3642985" cy="392415"/>
    <xdr:sp macro="" textlink="">
      <xdr:nvSpPr>
        <xdr:cNvPr id="115" name="テキスト ボックス 114">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11</xdr:col>
      <xdr:colOff>0</xdr:colOff>
      <xdr:row>258</xdr:row>
      <xdr:rowOff>0</xdr:rowOff>
    </xdr:from>
    <xdr:ext cx="1183273" cy="392415"/>
    <xdr:sp macro="" textlink="">
      <xdr:nvSpPr>
        <xdr:cNvPr id="116" name="テキスト ボックス 115">
          <a:extLst>
            <a:ext uri="{FF2B5EF4-FFF2-40B4-BE49-F238E27FC236}">
              <a16:creationId xmlns:a16="http://schemas.microsoft.com/office/drawing/2014/main" id="{00000000-0008-0000-0500-000014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255</xdr:row>
      <xdr:rowOff>0</xdr:rowOff>
    </xdr:from>
    <xdr:ext cx="1183273" cy="392415"/>
    <xdr:sp macro="" textlink="">
      <xdr:nvSpPr>
        <xdr:cNvPr id="117" name="テキスト ボックス 116">
          <a:extLst>
            <a:ext uri="{FF2B5EF4-FFF2-40B4-BE49-F238E27FC236}">
              <a16:creationId xmlns:a16="http://schemas.microsoft.com/office/drawing/2014/main" id="{00000000-0008-0000-0500-000015000000}"/>
            </a:ext>
          </a:extLst>
        </xdr:cNvPr>
        <xdr:cNvSpPr txBox="1"/>
      </xdr:nvSpPr>
      <xdr:spPr>
        <a:xfrm>
          <a:off x="1143952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256</xdr:row>
      <xdr:rowOff>0</xdr:rowOff>
    </xdr:from>
    <xdr:ext cx="1441100" cy="392415"/>
    <xdr:sp macro="" textlink="">
      <xdr:nvSpPr>
        <xdr:cNvPr id="118" name="テキスト ボックス 117">
          <a:extLst>
            <a:ext uri="{FF2B5EF4-FFF2-40B4-BE49-F238E27FC236}">
              <a16:creationId xmlns:a16="http://schemas.microsoft.com/office/drawing/2014/main" id="{00000000-0008-0000-0500-000016000000}"/>
            </a:ext>
          </a:extLst>
        </xdr:cNvPr>
        <xdr:cNvSpPr txBox="1"/>
      </xdr:nvSpPr>
      <xdr:spPr>
        <a:xfrm>
          <a:off x="9124950" y="6096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276</xdr:row>
      <xdr:rowOff>0</xdr:rowOff>
    </xdr:from>
    <xdr:ext cx="1183273" cy="392415"/>
    <xdr:sp macro="" textlink="">
      <xdr:nvSpPr>
        <xdr:cNvPr id="119" name="テキスト ボックス 118">
          <a:extLst>
            <a:ext uri="{FF2B5EF4-FFF2-40B4-BE49-F238E27FC236}">
              <a16:creationId xmlns:a16="http://schemas.microsoft.com/office/drawing/2014/main" id="{00000000-0008-0000-0500-000014000000}"/>
            </a:ext>
          </a:extLst>
        </xdr:cNvPr>
        <xdr:cNvSpPr txBox="1"/>
      </xdr:nvSpPr>
      <xdr:spPr>
        <a:xfrm>
          <a:off x="7829550" y="6143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273</xdr:row>
      <xdr:rowOff>0</xdr:rowOff>
    </xdr:from>
    <xdr:ext cx="1183273" cy="392415"/>
    <xdr:sp macro="" textlink="">
      <xdr:nvSpPr>
        <xdr:cNvPr id="120" name="テキスト ボックス 119">
          <a:extLst>
            <a:ext uri="{FF2B5EF4-FFF2-40B4-BE49-F238E27FC236}">
              <a16:creationId xmlns:a16="http://schemas.microsoft.com/office/drawing/2014/main" id="{00000000-0008-0000-0500-000015000000}"/>
            </a:ext>
          </a:extLst>
        </xdr:cNvPr>
        <xdr:cNvSpPr txBox="1"/>
      </xdr:nvSpPr>
      <xdr:spPr>
        <a:xfrm>
          <a:off x="11439525" y="6072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306</xdr:row>
      <xdr:rowOff>0</xdr:rowOff>
    </xdr:from>
    <xdr:ext cx="1106521" cy="392415"/>
    <xdr:sp macro="" textlink="">
      <xdr:nvSpPr>
        <xdr:cNvPr id="122" name="テキスト ボックス 121">
          <a:extLst>
            <a:ext uri="{FF2B5EF4-FFF2-40B4-BE49-F238E27FC236}">
              <a16:creationId xmlns:a16="http://schemas.microsoft.com/office/drawing/2014/main" id="{00000000-0008-0000-0500-000086000000}"/>
            </a:ext>
          </a:extLst>
        </xdr:cNvPr>
        <xdr:cNvSpPr txBox="1"/>
      </xdr:nvSpPr>
      <xdr:spPr>
        <a:xfrm>
          <a:off x="4219575" y="7286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baseline="0">
              <a:solidFill>
                <a:srgbClr val="FF0000"/>
              </a:solidFill>
              <a:latin typeface="メイリオ" panose="020B0604030504040204" pitchFamily="50" charset="-128"/>
              <a:ea typeface="メイリオ" panose="020B0604030504040204" pitchFamily="50" charset="-128"/>
            </a:rPr>
            <a:t>ALL</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268</xdr:row>
      <xdr:rowOff>0</xdr:rowOff>
    </xdr:from>
    <xdr:ext cx="1569660" cy="392415"/>
    <xdr:sp macro="" textlink="">
      <xdr:nvSpPr>
        <xdr:cNvPr id="123" name="テキスト ボックス 122">
          <a:extLst>
            <a:ext uri="{FF2B5EF4-FFF2-40B4-BE49-F238E27FC236}">
              <a16:creationId xmlns:a16="http://schemas.microsoft.com/office/drawing/2014/main" id="{00000000-0008-0000-0500-000016000000}"/>
            </a:ext>
          </a:extLst>
        </xdr:cNvPr>
        <xdr:cNvSpPr txBox="1"/>
      </xdr:nvSpPr>
      <xdr:spPr>
        <a:xfrm>
          <a:off x="4495800" y="6381750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項目名が身長と体重</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270</xdr:row>
      <xdr:rowOff>0</xdr:rowOff>
    </xdr:from>
    <xdr:ext cx="1183273" cy="392415"/>
    <xdr:sp macro="" textlink="">
      <xdr:nvSpPr>
        <xdr:cNvPr id="124" name="テキスト ボックス 123">
          <a:extLst>
            <a:ext uri="{FF2B5EF4-FFF2-40B4-BE49-F238E27FC236}">
              <a16:creationId xmlns:a16="http://schemas.microsoft.com/office/drawing/2014/main" id="{00000000-0008-0000-0500-000015000000}"/>
            </a:ext>
          </a:extLst>
        </xdr:cNvPr>
        <xdr:cNvSpPr txBox="1"/>
      </xdr:nvSpPr>
      <xdr:spPr>
        <a:xfrm>
          <a:off x="114395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274</xdr:row>
      <xdr:rowOff>0</xdr:rowOff>
    </xdr:from>
    <xdr:ext cx="1480213" cy="392415"/>
    <xdr:sp macro="" textlink="">
      <xdr:nvSpPr>
        <xdr:cNvPr id="126" name="テキスト ボックス 125">
          <a:extLst>
            <a:ext uri="{FF2B5EF4-FFF2-40B4-BE49-F238E27FC236}">
              <a16:creationId xmlns:a16="http://schemas.microsoft.com/office/drawing/2014/main" id="{00000000-0008-0000-0500-000016000000}"/>
            </a:ext>
          </a:extLst>
        </xdr:cNvPr>
        <xdr:cNvSpPr txBox="1"/>
      </xdr:nvSpPr>
      <xdr:spPr>
        <a:xfrm>
          <a:off x="8105775" y="654843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294</xdr:row>
      <xdr:rowOff>0</xdr:rowOff>
    </xdr:from>
    <xdr:ext cx="1183273" cy="392415"/>
    <xdr:sp macro="" textlink="">
      <xdr:nvSpPr>
        <xdr:cNvPr id="127" name="テキスト ボックス 126">
          <a:extLst>
            <a:ext uri="{FF2B5EF4-FFF2-40B4-BE49-F238E27FC236}">
              <a16:creationId xmlns:a16="http://schemas.microsoft.com/office/drawing/2014/main" id="{00000000-0008-0000-0500-000014000000}"/>
            </a:ext>
          </a:extLst>
        </xdr:cNvPr>
        <xdr:cNvSpPr txBox="1"/>
      </xdr:nvSpPr>
      <xdr:spPr>
        <a:xfrm>
          <a:off x="7829550" y="6572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291</xdr:row>
      <xdr:rowOff>0</xdr:rowOff>
    </xdr:from>
    <xdr:ext cx="1183273" cy="392415"/>
    <xdr:sp macro="" textlink="">
      <xdr:nvSpPr>
        <xdr:cNvPr id="128" name="テキスト ボックス 127">
          <a:extLst>
            <a:ext uri="{FF2B5EF4-FFF2-40B4-BE49-F238E27FC236}">
              <a16:creationId xmlns:a16="http://schemas.microsoft.com/office/drawing/2014/main" id="{00000000-0008-0000-0500-000015000000}"/>
            </a:ext>
          </a:extLst>
        </xdr:cNvPr>
        <xdr:cNvSpPr txBox="1"/>
      </xdr:nvSpPr>
      <xdr:spPr>
        <a:xfrm>
          <a:off x="10144125" y="6500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286</xdr:row>
      <xdr:rowOff>0</xdr:rowOff>
    </xdr:from>
    <xdr:ext cx="1569660" cy="392415"/>
    <xdr:sp macro="" textlink="">
      <xdr:nvSpPr>
        <xdr:cNvPr id="129" name="テキスト ボックス 128">
          <a:extLst>
            <a:ext uri="{FF2B5EF4-FFF2-40B4-BE49-F238E27FC236}">
              <a16:creationId xmlns:a16="http://schemas.microsoft.com/office/drawing/2014/main" id="{00000000-0008-0000-0500-000016000000}"/>
            </a:ext>
          </a:extLst>
        </xdr:cNvPr>
        <xdr:cNvSpPr txBox="1"/>
      </xdr:nvSpPr>
      <xdr:spPr>
        <a:xfrm>
          <a:off x="4495800" y="6381750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項目名が身長と体重</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288</xdr:row>
      <xdr:rowOff>0</xdr:rowOff>
    </xdr:from>
    <xdr:ext cx="1183273" cy="392415"/>
    <xdr:sp macro="" textlink="">
      <xdr:nvSpPr>
        <xdr:cNvPr id="130" name="テキスト ボックス 129">
          <a:extLst>
            <a:ext uri="{FF2B5EF4-FFF2-40B4-BE49-F238E27FC236}">
              <a16:creationId xmlns:a16="http://schemas.microsoft.com/office/drawing/2014/main" id="{00000000-0008-0000-0500-000015000000}"/>
            </a:ext>
          </a:extLst>
        </xdr:cNvPr>
        <xdr:cNvSpPr txBox="1"/>
      </xdr:nvSpPr>
      <xdr:spPr>
        <a:xfrm>
          <a:off x="11439525" y="6429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292</xdr:row>
      <xdr:rowOff>0</xdr:rowOff>
    </xdr:from>
    <xdr:ext cx="1480213" cy="392415"/>
    <xdr:sp macro="" textlink="">
      <xdr:nvSpPr>
        <xdr:cNvPr id="131" name="テキスト ボックス 130">
          <a:extLst>
            <a:ext uri="{FF2B5EF4-FFF2-40B4-BE49-F238E27FC236}">
              <a16:creationId xmlns:a16="http://schemas.microsoft.com/office/drawing/2014/main" id="{00000000-0008-0000-0500-000016000000}"/>
            </a:ext>
          </a:extLst>
        </xdr:cNvPr>
        <xdr:cNvSpPr txBox="1"/>
      </xdr:nvSpPr>
      <xdr:spPr>
        <a:xfrm>
          <a:off x="8105775" y="6524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461</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4E000000}"/>
            </a:ext>
          </a:extLst>
        </xdr:cNvPr>
        <xdr:cNvSpPr txBox="1"/>
      </xdr:nvSpPr>
      <xdr:spPr>
        <a:xfrm>
          <a:off x="7829550" y="10477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458</xdr:row>
      <xdr:rowOff>0</xdr:rowOff>
    </xdr:from>
    <xdr:ext cx="1183273" cy="392415"/>
    <xdr:sp macro="" textlink="">
      <xdr:nvSpPr>
        <xdr:cNvPr id="121" name="テキスト ボックス 120">
          <a:extLst>
            <a:ext uri="{FF2B5EF4-FFF2-40B4-BE49-F238E27FC236}">
              <a16:creationId xmlns:a16="http://schemas.microsoft.com/office/drawing/2014/main" id="{00000000-0008-0000-0500-000050000000}"/>
            </a:ext>
          </a:extLst>
        </xdr:cNvPr>
        <xdr:cNvSpPr txBox="1"/>
      </xdr:nvSpPr>
      <xdr:spPr>
        <a:xfrm>
          <a:off x="11439525" y="10406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459</xdr:row>
      <xdr:rowOff>0</xdr:rowOff>
    </xdr:from>
    <xdr:ext cx="1441100" cy="392415"/>
    <xdr:sp macro="" textlink="">
      <xdr:nvSpPr>
        <xdr:cNvPr id="125" name="テキスト ボックス 124">
          <a:extLst>
            <a:ext uri="{FF2B5EF4-FFF2-40B4-BE49-F238E27FC236}">
              <a16:creationId xmlns:a16="http://schemas.microsoft.com/office/drawing/2014/main" id="{00000000-0008-0000-0500-000051000000}"/>
            </a:ext>
          </a:extLst>
        </xdr:cNvPr>
        <xdr:cNvSpPr txBox="1"/>
      </xdr:nvSpPr>
      <xdr:spPr>
        <a:xfrm>
          <a:off x="9124950" y="108585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6</xdr:col>
      <xdr:colOff>0</xdr:colOff>
      <xdr:row>450</xdr:row>
      <xdr:rowOff>0</xdr:rowOff>
    </xdr:from>
    <xdr:ext cx="2904898" cy="392415"/>
    <xdr:sp macro="" textlink="">
      <xdr:nvSpPr>
        <xdr:cNvPr id="132" name="テキスト ボックス 131">
          <a:extLst>
            <a:ext uri="{FF2B5EF4-FFF2-40B4-BE49-F238E27FC236}">
              <a16:creationId xmlns:a16="http://schemas.microsoft.com/office/drawing/2014/main" id="{00000000-0008-0000-0500-00004B000000}"/>
            </a:ext>
          </a:extLst>
        </xdr:cNvPr>
        <xdr:cNvSpPr txBox="1"/>
      </xdr:nvSpPr>
      <xdr:spPr>
        <a:xfrm>
          <a:off x="4219575" y="107156250"/>
          <a:ext cx="29048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a:t>
          </a:r>
        </a:p>
      </xdr:txBody>
    </xdr:sp>
    <xdr:clientData/>
  </xdr:oneCellAnchor>
  <xdr:oneCellAnchor>
    <xdr:from>
      <xdr:col>11</xdr:col>
      <xdr:colOff>0</xdr:colOff>
      <xdr:row>452</xdr:row>
      <xdr:rowOff>0</xdr:rowOff>
    </xdr:from>
    <xdr:ext cx="755913" cy="392415"/>
    <xdr:sp macro="" textlink="">
      <xdr:nvSpPr>
        <xdr:cNvPr id="133" name="テキスト ボックス 132">
          <a:extLst>
            <a:ext uri="{FF2B5EF4-FFF2-40B4-BE49-F238E27FC236}">
              <a16:creationId xmlns:a16="http://schemas.microsoft.com/office/drawing/2014/main" id="{00000000-0008-0000-0500-00004F000000}"/>
            </a:ext>
          </a:extLst>
        </xdr:cNvPr>
        <xdr:cNvSpPr txBox="1"/>
      </xdr:nvSpPr>
      <xdr:spPr>
        <a:xfrm>
          <a:off x="7829550" y="107632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2904898" cy="392415"/>
    <xdr:sp macro="" textlink="">
      <xdr:nvSpPr>
        <xdr:cNvPr id="134" name="テキスト ボックス 133">
          <a:extLst>
            <a:ext uri="{FF2B5EF4-FFF2-40B4-BE49-F238E27FC236}">
              <a16:creationId xmlns:a16="http://schemas.microsoft.com/office/drawing/2014/main" id="{00000000-0008-0000-0500-00004B000000}"/>
            </a:ext>
          </a:extLst>
        </xdr:cNvPr>
        <xdr:cNvSpPr txBox="1"/>
      </xdr:nvSpPr>
      <xdr:spPr>
        <a:xfrm>
          <a:off x="4219575" y="107870625"/>
          <a:ext cx="29048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a:t>
          </a:r>
        </a:p>
      </xdr:txBody>
    </xdr:sp>
    <xdr:clientData/>
  </xdr:oneCellAnchor>
  <xdr:oneCellAnchor>
    <xdr:from>
      <xdr:col>6</xdr:col>
      <xdr:colOff>0</xdr:colOff>
      <xdr:row>453</xdr:row>
      <xdr:rowOff>0</xdr:rowOff>
    </xdr:from>
    <xdr:ext cx="2904898" cy="392415"/>
    <xdr:sp macro="" textlink="">
      <xdr:nvSpPr>
        <xdr:cNvPr id="135" name="テキスト ボックス 134">
          <a:extLst>
            <a:ext uri="{FF2B5EF4-FFF2-40B4-BE49-F238E27FC236}">
              <a16:creationId xmlns:a16="http://schemas.microsoft.com/office/drawing/2014/main" id="{00000000-0008-0000-0500-00004B000000}"/>
            </a:ext>
          </a:extLst>
        </xdr:cNvPr>
        <xdr:cNvSpPr txBox="1"/>
      </xdr:nvSpPr>
      <xdr:spPr>
        <a:xfrm>
          <a:off x="4219575" y="107156250"/>
          <a:ext cx="29048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a:t>
          </a:r>
        </a:p>
      </xdr:txBody>
    </xdr:sp>
    <xdr:clientData/>
  </xdr:oneCellAnchor>
  <xdr:oneCellAnchor>
    <xdr:from>
      <xdr:col>13</xdr:col>
      <xdr:colOff>0</xdr:colOff>
      <xdr:row>455</xdr:row>
      <xdr:rowOff>0</xdr:rowOff>
    </xdr:from>
    <xdr:ext cx="4736168" cy="392415"/>
    <xdr:sp macro="" textlink="">
      <xdr:nvSpPr>
        <xdr:cNvPr id="136" name="テキスト ボックス 135">
          <a:extLst>
            <a:ext uri="{FF2B5EF4-FFF2-40B4-BE49-F238E27FC236}">
              <a16:creationId xmlns:a16="http://schemas.microsoft.com/office/drawing/2014/main" id="{00000000-0008-0000-0500-00004F000000}"/>
            </a:ext>
          </a:extLst>
        </xdr:cNvPr>
        <xdr:cNvSpPr txBox="1"/>
      </xdr:nvSpPr>
      <xdr:spPr>
        <a:xfrm>
          <a:off x="9124950" y="108346875"/>
          <a:ext cx="47361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桁）が施設データ利用可能期間内）</a:t>
          </a:r>
        </a:p>
      </xdr:txBody>
    </xdr:sp>
    <xdr:clientData/>
  </xdr:oneCellAnchor>
  <xdr:oneCellAnchor>
    <xdr:from>
      <xdr:col>7</xdr:col>
      <xdr:colOff>0</xdr:colOff>
      <xdr:row>253</xdr:row>
      <xdr:rowOff>0</xdr:rowOff>
    </xdr:from>
    <xdr:ext cx="2751010" cy="392415"/>
    <xdr:sp macro="" textlink="">
      <xdr:nvSpPr>
        <xdr:cNvPr id="138" name="テキスト ボックス 137">
          <a:extLst>
            <a:ext uri="{FF2B5EF4-FFF2-40B4-BE49-F238E27FC236}">
              <a16:creationId xmlns:a16="http://schemas.microsoft.com/office/drawing/2014/main" id="{00000000-0008-0000-0500-000053000000}"/>
            </a:ext>
          </a:extLst>
        </xdr:cNvPr>
        <xdr:cNvSpPr txBox="1"/>
      </xdr:nvSpPr>
      <xdr:spPr>
        <a:xfrm>
          <a:off x="4495800" y="6024562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769620</xdr:colOff>
      <xdr:row>39</xdr:row>
      <xdr:rowOff>220980</xdr:rowOff>
    </xdr:from>
    <xdr:ext cx="1183273" cy="392415"/>
    <xdr:sp macro="" textlink="">
      <xdr:nvSpPr>
        <xdr:cNvPr id="137" name="テキスト ボックス 136">
          <a:extLst>
            <a:ext uri="{FF2B5EF4-FFF2-40B4-BE49-F238E27FC236}">
              <a16:creationId xmlns:a16="http://schemas.microsoft.com/office/drawing/2014/main" id="{00000000-0008-0000-0500-000034000000}"/>
            </a:ext>
          </a:extLst>
        </xdr:cNvPr>
        <xdr:cNvSpPr txBox="1"/>
      </xdr:nvSpPr>
      <xdr:spPr>
        <a:xfrm>
          <a:off x="8976360" y="94335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topLeftCell="A667" zoomScaleNormal="100" workbookViewId="0">
      <selection activeCell="G681" sqref="G681"/>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3181</v>
      </c>
      <c r="D3" s="78"/>
      <c r="W3" s="35" t="str">
        <f>"-- "&amp;B3&amp;" : "&amp;C3</f>
        <v>-- SQL_ID : 01_01</v>
      </c>
    </row>
    <row r="4" spans="2:23" ht="18.75" customHeight="1">
      <c r="B4" s="43" t="s">
        <v>158</v>
      </c>
      <c r="C4" s="127" t="str">
        <f>R7&amp;"登録"</f>
        <v>バックアップ_疾患データ_組み入れ第一条件登録</v>
      </c>
      <c r="D4" s="128"/>
      <c r="E4" s="128"/>
      <c r="F4" s="128"/>
      <c r="G4" s="128"/>
      <c r="H4" s="128"/>
      <c r="I4" s="128"/>
      <c r="J4" s="128"/>
      <c r="K4" s="128"/>
      <c r="L4" s="128"/>
      <c r="M4" s="128"/>
      <c r="N4" s="128"/>
      <c r="O4" s="128"/>
      <c r="P4" s="128"/>
      <c r="Q4" s="128"/>
      <c r="R4" s="128"/>
      <c r="S4" s="128"/>
      <c r="T4" s="128"/>
      <c r="U4" s="129"/>
      <c r="W4" s="35" t="str">
        <f>"-- "&amp;C4</f>
        <v>-- バックアップ_疾患データ_組み入れ第一条件登録</v>
      </c>
    </row>
    <row r="5" spans="2:23" ht="18.75" customHeight="1">
      <c r="B5" s="43" t="s">
        <v>159</v>
      </c>
      <c r="C5" s="130"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31"/>
      <c r="E5" s="131"/>
      <c r="F5" s="131"/>
      <c r="G5" s="131"/>
      <c r="H5" s="131"/>
      <c r="I5" s="131"/>
      <c r="J5" s="131"/>
      <c r="K5" s="131"/>
      <c r="L5" s="131"/>
      <c r="M5" s="131"/>
      <c r="N5" s="131"/>
      <c r="O5" s="131"/>
      <c r="P5" s="131"/>
      <c r="Q5" s="131"/>
      <c r="R5" s="131"/>
      <c r="S5" s="131"/>
      <c r="T5" s="131"/>
      <c r="U5" s="132"/>
      <c r="W5" s="35" t="str">
        <f>"-- "&amp;C5</f>
        <v>-- MML診断履歴情報モジュールからICD10コードがC900のもので絞り込んだ結果の一覧をバックアップ_疾患データ_組み入れ第一条件テーブルに格納する。</v>
      </c>
    </row>
    <row r="7" spans="2:23" ht="18.75" customHeight="1">
      <c r="C7" s="119" t="s">
        <v>3787</v>
      </c>
      <c r="D7" s="120"/>
      <c r="E7" s="125" t="s">
        <v>162</v>
      </c>
      <c r="F7" s="36"/>
      <c r="G7" s="36"/>
      <c r="H7" s="36"/>
      <c r="I7" s="36"/>
      <c r="J7" s="36"/>
      <c r="M7" s="36"/>
      <c r="N7" s="36"/>
      <c r="O7" s="36"/>
      <c r="P7" s="36"/>
      <c r="Q7" s="36"/>
      <c r="R7" s="119" t="s">
        <v>3786</v>
      </c>
      <c r="S7" s="120"/>
      <c r="T7" s="123" t="str">
        <f>エンティティ一覧!$O$2</f>
        <v>milscm_2023_009</v>
      </c>
    </row>
    <row r="8" spans="2:23" ht="18.75" customHeight="1">
      <c r="C8" s="121"/>
      <c r="D8" s="122"/>
      <c r="E8" s="126"/>
      <c r="F8" s="37"/>
      <c r="G8" s="37"/>
      <c r="H8" s="37"/>
      <c r="I8" s="37"/>
      <c r="J8" s="37"/>
      <c r="K8" s="37"/>
      <c r="L8" s="38"/>
      <c r="M8" s="37"/>
      <c r="N8" s="37"/>
      <c r="O8" s="37"/>
      <c r="P8" s="37"/>
      <c r="Q8" s="37"/>
      <c r="R8" s="121"/>
      <c r="S8" s="122"/>
      <c r="T8" s="124"/>
    </row>
    <row r="9" spans="2:23" ht="18.75" customHeight="1">
      <c r="K9" s="39"/>
      <c r="L9" s="40"/>
    </row>
    <row r="10" spans="2:23" ht="18.75" customHeight="1">
      <c r="C10" s="119" t="s">
        <v>3788</v>
      </c>
      <c r="D10" s="120"/>
      <c r="E10" s="125" t="s">
        <v>162</v>
      </c>
      <c r="F10" s="36"/>
      <c r="G10" s="36"/>
      <c r="H10" s="36"/>
      <c r="I10" s="36"/>
      <c r="J10" s="36"/>
      <c r="L10" s="41"/>
    </row>
    <row r="11" spans="2:23" ht="18.75" customHeight="1">
      <c r="C11" s="121"/>
      <c r="D11" s="122"/>
      <c r="E11" s="126"/>
      <c r="F11" s="37"/>
      <c r="G11" s="38"/>
      <c r="H11" s="37"/>
      <c r="I11" s="37"/>
      <c r="J11" s="37"/>
      <c r="K11" s="37"/>
    </row>
    <row r="12" spans="2:23" ht="18.75" customHeight="1">
      <c r="G12" s="41"/>
    </row>
    <row r="13" spans="2:23" ht="18.75" customHeight="1">
      <c r="C13" s="119" t="s">
        <v>3668</v>
      </c>
      <c r="D13" s="120"/>
      <c r="E13" s="125" t="s">
        <v>162</v>
      </c>
      <c r="F13" s="36"/>
      <c r="G13" s="41"/>
      <c r="H13" s="94"/>
      <c r="I13" s="94"/>
      <c r="J13" s="94"/>
      <c r="K13" s="94"/>
      <c r="L13" s="94"/>
    </row>
    <row r="14" spans="2:23" ht="18.75" customHeight="1">
      <c r="C14" s="121"/>
      <c r="D14" s="122"/>
      <c r="E14" s="126"/>
      <c r="F14" s="37"/>
      <c r="G14" s="94"/>
      <c r="H14" s="94"/>
      <c r="I14" s="94"/>
      <c r="J14" s="94"/>
      <c r="K14" s="94"/>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3184</v>
      </c>
      <c r="D20" s="78"/>
      <c r="W20" s="35" t="str">
        <f>"-- "&amp;B20&amp;" : "&amp;C20</f>
        <v>-- SQL_ID : 01_02</v>
      </c>
    </row>
    <row r="21" spans="2:23" ht="18.75" customHeight="1">
      <c r="B21" s="43" t="s">
        <v>158</v>
      </c>
      <c r="C21" s="127" t="str">
        <f>R24&amp;"登録"</f>
        <v>バックアップ_患者マスタ_組入れ第一条件登録</v>
      </c>
      <c r="D21" s="128"/>
      <c r="E21" s="128"/>
      <c r="F21" s="128"/>
      <c r="G21" s="128"/>
      <c r="H21" s="128"/>
      <c r="I21" s="128"/>
      <c r="J21" s="128"/>
      <c r="K21" s="128"/>
      <c r="L21" s="128"/>
      <c r="M21" s="128"/>
      <c r="N21" s="128"/>
      <c r="O21" s="128"/>
      <c r="P21" s="128"/>
      <c r="Q21" s="128"/>
      <c r="R21" s="128"/>
      <c r="S21" s="128"/>
      <c r="T21" s="128"/>
      <c r="U21" s="129"/>
      <c r="W21" s="35" t="str">
        <f>"-- "&amp;C21</f>
        <v>-- バックアップ_患者マスタ_組入れ第一条件登録</v>
      </c>
    </row>
    <row r="22" spans="2:23" ht="18.75" customHeight="1">
      <c r="B22" s="43" t="s">
        <v>159</v>
      </c>
      <c r="C22" s="130"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31"/>
      <c r="E22" s="131"/>
      <c r="F22" s="131"/>
      <c r="G22" s="131"/>
      <c r="H22" s="131"/>
      <c r="I22" s="131"/>
      <c r="J22" s="131"/>
      <c r="K22" s="131"/>
      <c r="L22" s="131"/>
      <c r="M22" s="131"/>
      <c r="N22" s="131"/>
      <c r="O22" s="131"/>
      <c r="P22" s="131"/>
      <c r="Q22" s="131"/>
      <c r="R22" s="131"/>
      <c r="S22" s="131"/>
      <c r="T22" s="131"/>
      <c r="U22" s="132"/>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19" t="s">
        <v>3182</v>
      </c>
      <c r="I24" s="120"/>
      <c r="J24" s="125" t="s">
        <v>162</v>
      </c>
      <c r="K24" s="36"/>
      <c r="M24" s="36"/>
      <c r="N24" s="36"/>
      <c r="O24" s="36"/>
      <c r="R24" s="119" t="s">
        <v>3676</v>
      </c>
      <c r="S24" s="120"/>
      <c r="T24" s="123" t="str">
        <f>エンティティ一覧!$O$2</f>
        <v>milscm_2023_009</v>
      </c>
    </row>
    <row r="25" spans="2:23" ht="18.75" customHeight="1">
      <c r="H25" s="121"/>
      <c r="I25" s="122"/>
      <c r="J25" s="126"/>
      <c r="K25" s="37"/>
      <c r="L25" s="38"/>
      <c r="M25" s="37"/>
      <c r="N25" s="37"/>
      <c r="O25" s="37"/>
      <c r="P25" s="37"/>
      <c r="Q25" s="38"/>
      <c r="R25" s="121"/>
      <c r="S25" s="122"/>
      <c r="T25" s="124"/>
    </row>
    <row r="26" spans="2:23" ht="18.75" customHeight="1">
      <c r="K26" s="39"/>
      <c r="L26" s="40"/>
      <c r="P26" s="39"/>
      <c r="Q26" s="40"/>
    </row>
    <row r="27" spans="2:23" ht="18.75" customHeight="1">
      <c r="C27" s="119" t="s">
        <v>3182</v>
      </c>
      <c r="D27" s="120"/>
      <c r="E27" s="125" t="s">
        <v>162</v>
      </c>
      <c r="H27" s="36"/>
      <c r="I27" s="36"/>
      <c r="J27" s="36"/>
      <c r="L27" s="41"/>
      <c r="P27" s="39"/>
      <c r="Q27" s="40"/>
    </row>
    <row r="28" spans="2:23" ht="18.75" customHeight="1">
      <c r="C28" s="121"/>
      <c r="D28" s="122"/>
      <c r="E28" s="126"/>
      <c r="F28" s="37"/>
      <c r="G28" s="38"/>
      <c r="H28" s="37"/>
      <c r="I28" s="37"/>
      <c r="J28" s="37"/>
      <c r="K28" s="37"/>
      <c r="P28" s="39"/>
      <c r="Q28" s="40"/>
    </row>
    <row r="29" spans="2:23" ht="18.75" customHeight="1">
      <c r="F29" s="39"/>
      <c r="G29" s="40"/>
      <c r="P29" s="39"/>
      <c r="Q29" s="40"/>
    </row>
    <row r="30" spans="2:23" ht="18.75" customHeight="1">
      <c r="C30" s="119" t="s">
        <v>3786</v>
      </c>
      <c r="D30" s="120"/>
      <c r="E30" s="123" t="str">
        <f>エンティティ一覧!$O$2</f>
        <v>milscm_2023_009</v>
      </c>
      <c r="G30" s="41"/>
      <c r="P30" s="39"/>
      <c r="Q30" s="40"/>
    </row>
    <row r="31" spans="2:23" ht="18.75" customHeight="1">
      <c r="C31" s="121"/>
      <c r="D31" s="122"/>
      <c r="E31" s="124"/>
      <c r="F31" s="37"/>
      <c r="P31" s="39"/>
      <c r="Q31" s="40"/>
    </row>
    <row r="32" spans="2:23" ht="18.75" customHeight="1">
      <c r="P32" s="39"/>
      <c r="Q32" s="40"/>
    </row>
    <row r="33" spans="2:23" ht="18.75" customHeight="1">
      <c r="M33" s="119" t="s">
        <v>3667</v>
      </c>
      <c r="N33" s="120"/>
      <c r="O33" s="125" t="s">
        <v>162</v>
      </c>
      <c r="Q33" s="41"/>
    </row>
    <row r="34" spans="2:23" ht="18.75" customHeight="1">
      <c r="M34" s="121"/>
      <c r="N34" s="122"/>
      <c r="O34" s="126"/>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3481</v>
      </c>
      <c r="D39" s="88"/>
      <c r="W39" s="35" t="str">
        <f>"-- "&amp;B39&amp;" : "&amp;C39</f>
        <v>-- SQL_ID : 01_A1-02</v>
      </c>
    </row>
    <row r="40" spans="2:23" ht="18.75" customHeight="1">
      <c r="B40" s="43" t="s">
        <v>158</v>
      </c>
      <c r="C40" s="127" t="str">
        <f>R43&amp;"登録"</f>
        <v>バックアップ_処方データ登録</v>
      </c>
      <c r="D40" s="128"/>
      <c r="E40" s="128"/>
      <c r="F40" s="128"/>
      <c r="G40" s="128"/>
      <c r="H40" s="128"/>
      <c r="I40" s="128"/>
      <c r="J40" s="128"/>
      <c r="K40" s="128"/>
      <c r="L40" s="128"/>
      <c r="M40" s="128"/>
      <c r="N40" s="128"/>
      <c r="O40" s="128"/>
      <c r="P40" s="128"/>
      <c r="Q40" s="128"/>
      <c r="R40" s="128"/>
      <c r="S40" s="128"/>
      <c r="T40" s="128"/>
      <c r="U40" s="129"/>
      <c r="W40" s="35" t="str">
        <f>"-- "&amp;C40</f>
        <v>-- バックアップ_処方データ登録</v>
      </c>
    </row>
    <row r="41" spans="2:23" ht="18.75" customHeight="1">
      <c r="B41" s="43" t="s">
        <v>159</v>
      </c>
      <c r="C41" s="130"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31"/>
      <c r="E41" s="131"/>
      <c r="F41" s="131"/>
      <c r="G41" s="131"/>
      <c r="H41" s="131"/>
      <c r="I41" s="131"/>
      <c r="J41" s="131"/>
      <c r="K41" s="131"/>
      <c r="L41" s="131"/>
      <c r="M41" s="131"/>
      <c r="N41" s="131"/>
      <c r="O41" s="131"/>
      <c r="P41" s="131"/>
      <c r="Q41" s="131"/>
      <c r="R41" s="131"/>
      <c r="S41" s="131"/>
      <c r="T41" s="131"/>
      <c r="U41" s="132"/>
      <c r="W41" s="35" t="str">
        <f>"-- "&amp;C41</f>
        <v>-- 処方データテーブルから組入れ条件の第一条件で絞り込んだ結果をバックアップ_処方データテーブルに格納する。</v>
      </c>
    </row>
    <row r="43" spans="2:23" ht="18.75" customHeight="1">
      <c r="C43" s="119" t="s">
        <v>3484</v>
      </c>
      <c r="D43" s="120"/>
      <c r="E43" s="125" t="s">
        <v>162</v>
      </c>
      <c r="H43" s="36"/>
      <c r="I43" s="36"/>
      <c r="J43" s="36"/>
      <c r="K43" s="36"/>
      <c r="L43" s="36"/>
      <c r="M43" s="36"/>
      <c r="N43" s="36"/>
      <c r="O43" s="36"/>
      <c r="P43" s="36"/>
      <c r="Q43" s="36"/>
      <c r="R43" s="119" t="str">
        <f>"バックアップ_"&amp;SUBSTITUTE(C43,"_結合","")</f>
        <v>バックアップ_処方データ</v>
      </c>
      <c r="S43" s="120"/>
      <c r="T43" s="123" t="str">
        <f>エンティティ一覧!$O$2</f>
        <v>milscm_2023_009</v>
      </c>
    </row>
    <row r="44" spans="2:23" ht="18.75" customHeight="1">
      <c r="C44" s="121"/>
      <c r="D44" s="122"/>
      <c r="E44" s="126"/>
      <c r="F44" s="37"/>
      <c r="G44" s="38"/>
      <c r="H44" s="37"/>
      <c r="I44" s="37"/>
      <c r="J44" s="37"/>
      <c r="K44" s="37"/>
      <c r="L44" s="37"/>
      <c r="M44" s="37"/>
      <c r="N44" s="37"/>
      <c r="O44" s="37"/>
      <c r="P44" s="37"/>
      <c r="Q44" s="37"/>
      <c r="R44" s="121"/>
      <c r="S44" s="122"/>
      <c r="T44" s="124"/>
    </row>
    <row r="45" spans="2:23" ht="18.75" customHeight="1">
      <c r="F45" s="39"/>
      <c r="G45" s="40"/>
    </row>
    <row r="46" spans="2:23" ht="18.75" customHeight="1">
      <c r="C46" s="119" t="s">
        <v>3183</v>
      </c>
      <c r="D46" s="120"/>
      <c r="E46" s="123" t="str">
        <f>エンティティ一覧!$O$2</f>
        <v>milscm_2023_009</v>
      </c>
      <c r="G46" s="41"/>
    </row>
    <row r="47" spans="2:23" ht="18.75" customHeight="1">
      <c r="C47" s="121"/>
      <c r="D47" s="122"/>
      <c r="E47" s="124"/>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3482</v>
      </c>
      <c r="D51" s="88"/>
      <c r="W51" s="35" t="str">
        <f>"-- "&amp;B51&amp;" : "&amp;C51</f>
        <v>-- SQL_ID : 01_A1-03</v>
      </c>
    </row>
    <row r="52" spans="2:23" ht="18.75" customHeight="1">
      <c r="B52" s="43" t="s">
        <v>158</v>
      </c>
      <c r="C52" s="127" t="str">
        <f>R55&amp;"登録"</f>
        <v>バックアップ_診療行為データ登録</v>
      </c>
      <c r="D52" s="128"/>
      <c r="E52" s="128"/>
      <c r="F52" s="128"/>
      <c r="G52" s="128"/>
      <c r="H52" s="128"/>
      <c r="I52" s="128"/>
      <c r="J52" s="128"/>
      <c r="K52" s="128"/>
      <c r="L52" s="128"/>
      <c r="M52" s="128"/>
      <c r="N52" s="128"/>
      <c r="O52" s="128"/>
      <c r="P52" s="128"/>
      <c r="Q52" s="128"/>
      <c r="R52" s="128"/>
      <c r="S52" s="128"/>
      <c r="T52" s="128"/>
      <c r="U52" s="129"/>
      <c r="W52" s="35" t="str">
        <f>"-- "&amp;C52</f>
        <v>-- バックアップ_診療行為データ登録</v>
      </c>
    </row>
    <row r="53" spans="2:23" ht="18.75" customHeight="1">
      <c r="B53" s="43" t="s">
        <v>159</v>
      </c>
      <c r="C53" s="130"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31"/>
      <c r="E53" s="131"/>
      <c r="F53" s="131"/>
      <c r="G53" s="131"/>
      <c r="H53" s="131"/>
      <c r="I53" s="131"/>
      <c r="J53" s="131"/>
      <c r="K53" s="131"/>
      <c r="L53" s="131"/>
      <c r="M53" s="131"/>
      <c r="N53" s="131"/>
      <c r="O53" s="131"/>
      <c r="P53" s="131"/>
      <c r="Q53" s="131"/>
      <c r="R53" s="131"/>
      <c r="S53" s="131"/>
      <c r="T53" s="131"/>
      <c r="U53" s="132"/>
      <c r="W53" s="35" t="str">
        <f>"-- "&amp;C53</f>
        <v>-- 診療行為データテーブルから組入れ条件の第一条件で絞り込んだ結果をバックアップ_診療行為データテーブルに格納する。</v>
      </c>
    </row>
    <row r="55" spans="2:23" ht="18.75" customHeight="1">
      <c r="C55" s="119" t="s">
        <v>3483</v>
      </c>
      <c r="D55" s="120"/>
      <c r="E55" s="125" t="s">
        <v>162</v>
      </c>
      <c r="H55" s="36"/>
      <c r="I55" s="36"/>
      <c r="J55" s="36"/>
      <c r="K55" s="36"/>
      <c r="L55" s="36"/>
      <c r="M55" s="36"/>
      <c r="N55" s="36"/>
      <c r="O55" s="36"/>
      <c r="P55" s="36"/>
      <c r="Q55" s="36"/>
      <c r="R55" s="119" t="str">
        <f>"バックアップ_"&amp;SUBSTITUTE(C55,"_結合","")</f>
        <v>バックアップ_診療行為データ</v>
      </c>
      <c r="S55" s="120"/>
      <c r="T55" s="123" t="str">
        <f>エンティティ一覧!$O$2</f>
        <v>milscm_2023_009</v>
      </c>
    </row>
    <row r="56" spans="2:23" ht="18.75" customHeight="1">
      <c r="C56" s="121"/>
      <c r="D56" s="122"/>
      <c r="E56" s="126"/>
      <c r="F56" s="37"/>
      <c r="G56" s="38"/>
      <c r="H56" s="37"/>
      <c r="I56" s="37"/>
      <c r="J56" s="37"/>
      <c r="K56" s="37"/>
      <c r="L56" s="37"/>
      <c r="M56" s="37"/>
      <c r="N56" s="37"/>
      <c r="O56" s="37"/>
      <c r="P56" s="37"/>
      <c r="Q56" s="37"/>
      <c r="R56" s="121"/>
      <c r="S56" s="122"/>
      <c r="T56" s="124"/>
    </row>
    <row r="57" spans="2:23" ht="18.75" customHeight="1">
      <c r="F57" s="39"/>
      <c r="G57" s="40"/>
    </row>
    <row r="58" spans="2:23" ht="18.75" customHeight="1">
      <c r="C58" s="119" t="s">
        <v>3183</v>
      </c>
      <c r="D58" s="120"/>
      <c r="E58" s="123" t="str">
        <f>エンティティ一覧!$O$2</f>
        <v>milscm_2023_009</v>
      </c>
      <c r="G58" s="41"/>
    </row>
    <row r="59" spans="2:23" ht="18.75" customHeight="1">
      <c r="C59" s="121"/>
      <c r="D59" s="122"/>
      <c r="E59" s="124"/>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3485</v>
      </c>
      <c r="D63" s="88"/>
      <c r="W63" s="35" t="str">
        <f>"-- "&amp;B63&amp;" : "&amp;C63</f>
        <v>-- SQL_ID : 01_A1-04</v>
      </c>
    </row>
    <row r="64" spans="2:23" ht="18.75" customHeight="1">
      <c r="B64" s="43" t="s">
        <v>158</v>
      </c>
      <c r="C64" s="127" t="str">
        <f>R67&amp;"登録"</f>
        <v>バックアップ_疾患データ登録</v>
      </c>
      <c r="D64" s="128"/>
      <c r="E64" s="128"/>
      <c r="F64" s="128"/>
      <c r="G64" s="128"/>
      <c r="H64" s="128"/>
      <c r="I64" s="128"/>
      <c r="J64" s="128"/>
      <c r="K64" s="128"/>
      <c r="L64" s="128"/>
      <c r="M64" s="128"/>
      <c r="N64" s="128"/>
      <c r="O64" s="128"/>
      <c r="P64" s="128"/>
      <c r="Q64" s="128"/>
      <c r="R64" s="128"/>
      <c r="S64" s="128"/>
      <c r="T64" s="128"/>
      <c r="U64" s="129"/>
      <c r="W64" s="35" t="str">
        <f>"-- "&amp;C64</f>
        <v>-- バックアップ_疾患データ登録</v>
      </c>
    </row>
    <row r="65" spans="2:23" ht="18.75" customHeight="1">
      <c r="B65" s="43" t="s">
        <v>159</v>
      </c>
      <c r="C65" s="130"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31"/>
      <c r="E65" s="131"/>
      <c r="F65" s="131"/>
      <c r="G65" s="131"/>
      <c r="H65" s="131"/>
      <c r="I65" s="131"/>
      <c r="J65" s="131"/>
      <c r="K65" s="131"/>
      <c r="L65" s="131"/>
      <c r="M65" s="131"/>
      <c r="N65" s="131"/>
      <c r="O65" s="131"/>
      <c r="P65" s="131"/>
      <c r="Q65" s="131"/>
      <c r="R65" s="131"/>
      <c r="S65" s="131"/>
      <c r="T65" s="131"/>
      <c r="U65" s="132"/>
      <c r="W65" s="35" t="str">
        <f>"-- "&amp;C65</f>
        <v>-- 疾患データテーブルから組入れ条件の第一条件で絞り込んだ結果をバックアップ_疾患データテーブルに格納する。</v>
      </c>
    </row>
    <row r="67" spans="2:23" ht="18.75" customHeight="1">
      <c r="C67" s="119" t="s">
        <v>3486</v>
      </c>
      <c r="D67" s="120"/>
      <c r="E67" s="125" t="s">
        <v>162</v>
      </c>
      <c r="H67" s="36"/>
      <c r="I67" s="36"/>
      <c r="J67" s="36"/>
      <c r="K67" s="36"/>
      <c r="L67" s="36"/>
      <c r="M67" s="36"/>
      <c r="N67" s="36"/>
      <c r="O67" s="36"/>
      <c r="P67" s="36"/>
      <c r="Q67" s="36"/>
      <c r="R67" s="119" t="str">
        <f>"バックアップ_"&amp;SUBSTITUTE(C67,"_結合","")</f>
        <v>バックアップ_疾患データ</v>
      </c>
      <c r="S67" s="120"/>
      <c r="T67" s="123" t="str">
        <f>エンティティ一覧!$O$2</f>
        <v>milscm_2023_009</v>
      </c>
    </row>
    <row r="68" spans="2:23" ht="18.75" customHeight="1">
      <c r="C68" s="121"/>
      <c r="D68" s="122"/>
      <c r="E68" s="126"/>
      <c r="F68" s="37"/>
      <c r="G68" s="38"/>
      <c r="H68" s="37"/>
      <c r="I68" s="37"/>
      <c r="J68" s="37"/>
      <c r="K68" s="37"/>
      <c r="L68" s="37"/>
      <c r="M68" s="37"/>
      <c r="N68" s="37"/>
      <c r="O68" s="37"/>
      <c r="P68" s="37"/>
      <c r="Q68" s="37"/>
      <c r="R68" s="121"/>
      <c r="S68" s="122"/>
      <c r="T68" s="124"/>
    </row>
    <row r="69" spans="2:23" ht="18.75" customHeight="1">
      <c r="F69" s="39"/>
      <c r="G69" s="40"/>
    </row>
    <row r="70" spans="2:23" ht="18.75" customHeight="1">
      <c r="C70" s="119" t="s">
        <v>3183</v>
      </c>
      <c r="D70" s="120"/>
      <c r="E70" s="123" t="str">
        <f>エンティティ一覧!$O$2</f>
        <v>milscm_2023_009</v>
      </c>
      <c r="G70" s="41"/>
    </row>
    <row r="71" spans="2:23" ht="18.75" customHeight="1">
      <c r="C71" s="121"/>
      <c r="D71" s="122"/>
      <c r="E71" s="124"/>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3487</v>
      </c>
      <c r="D75" s="88"/>
      <c r="W75" s="35" t="str">
        <f>"-- "&amp;B75&amp;" : "&amp;C75</f>
        <v>-- SQL_ID : 01_A1-05</v>
      </c>
    </row>
    <row r="76" spans="2:23" ht="18.75" customHeight="1">
      <c r="B76" s="43" t="s">
        <v>158</v>
      </c>
      <c r="C76" s="127" t="str">
        <f>R79&amp;"登録"</f>
        <v>バックアップ_疾患診療科データ登録</v>
      </c>
      <c r="D76" s="128"/>
      <c r="E76" s="128"/>
      <c r="F76" s="128"/>
      <c r="G76" s="128"/>
      <c r="H76" s="128"/>
      <c r="I76" s="128"/>
      <c r="J76" s="128"/>
      <c r="K76" s="128"/>
      <c r="L76" s="128"/>
      <c r="M76" s="128"/>
      <c r="N76" s="128"/>
      <c r="O76" s="128"/>
      <c r="P76" s="128"/>
      <c r="Q76" s="128"/>
      <c r="R76" s="128"/>
      <c r="S76" s="128"/>
      <c r="T76" s="128"/>
      <c r="U76" s="129"/>
      <c r="W76" s="35" t="str">
        <f>"-- "&amp;C76</f>
        <v>-- バックアップ_疾患診療科データ登録</v>
      </c>
    </row>
    <row r="77" spans="2:23" ht="18.75" customHeight="1">
      <c r="B77" s="43" t="s">
        <v>159</v>
      </c>
      <c r="C77" s="130"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31"/>
      <c r="E77" s="131"/>
      <c r="F77" s="131"/>
      <c r="G77" s="131"/>
      <c r="H77" s="131"/>
      <c r="I77" s="131"/>
      <c r="J77" s="131"/>
      <c r="K77" s="131"/>
      <c r="L77" s="131"/>
      <c r="M77" s="131"/>
      <c r="N77" s="131"/>
      <c r="O77" s="131"/>
      <c r="P77" s="131"/>
      <c r="Q77" s="131"/>
      <c r="R77" s="131"/>
      <c r="S77" s="131"/>
      <c r="T77" s="131"/>
      <c r="U77" s="132"/>
      <c r="W77" s="35" t="str">
        <f>"-- "&amp;C77</f>
        <v>-- 疾患診療科データテーブルから組入れ条件の第一条件で絞り込んだ結果をバックアップ_疾患診療科データテーブルに格納する。</v>
      </c>
    </row>
    <row r="79" spans="2:23" ht="18.75" customHeight="1">
      <c r="C79" s="119" t="s">
        <v>3488</v>
      </c>
      <c r="D79" s="120"/>
      <c r="E79" s="125" t="s">
        <v>162</v>
      </c>
      <c r="F79" s="36"/>
      <c r="G79" s="36"/>
      <c r="H79" s="36"/>
      <c r="I79" s="36"/>
      <c r="J79" s="36"/>
      <c r="K79" s="36"/>
      <c r="L79" s="36"/>
      <c r="M79" s="36"/>
      <c r="N79" s="36"/>
      <c r="O79" s="36"/>
      <c r="P79" s="36"/>
      <c r="Q79" s="36"/>
      <c r="R79" s="119" t="str">
        <f>"バックアップ_"&amp;SUBSTITUTE(C79,"_結合","")</f>
        <v>バックアップ_疾患診療科データ</v>
      </c>
      <c r="S79" s="120"/>
      <c r="T79" s="123" t="str">
        <f>エンティティ一覧!$O$2</f>
        <v>milscm_2023_009</v>
      </c>
    </row>
    <row r="80" spans="2:23" ht="18.75" customHeight="1">
      <c r="C80" s="121"/>
      <c r="D80" s="122"/>
      <c r="E80" s="126"/>
      <c r="F80" s="37"/>
      <c r="G80" s="37"/>
      <c r="H80" s="37"/>
      <c r="I80" s="37"/>
      <c r="J80" s="37"/>
      <c r="K80" s="37"/>
      <c r="L80" s="37"/>
      <c r="M80" s="37"/>
      <c r="N80" s="37"/>
      <c r="O80" s="37"/>
      <c r="P80" s="37"/>
      <c r="Q80" s="37"/>
      <c r="R80" s="121"/>
      <c r="S80" s="122"/>
      <c r="T80" s="124"/>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3489</v>
      </c>
      <c r="D84" s="88"/>
      <c r="W84" s="35" t="str">
        <f>"-- "&amp;B84&amp;" : "&amp;C84</f>
        <v>-- SQL_ID : 01_A1-06</v>
      </c>
    </row>
    <row r="85" spans="2:23" ht="18.75" customHeight="1">
      <c r="B85" s="43" t="s">
        <v>158</v>
      </c>
      <c r="C85" s="127" t="str">
        <f>R88&amp;"登録"</f>
        <v>バックアップ_入院退院データ登録</v>
      </c>
      <c r="D85" s="128"/>
      <c r="E85" s="128"/>
      <c r="F85" s="128"/>
      <c r="G85" s="128"/>
      <c r="H85" s="128"/>
      <c r="I85" s="128"/>
      <c r="J85" s="128"/>
      <c r="K85" s="128"/>
      <c r="L85" s="128"/>
      <c r="M85" s="128"/>
      <c r="N85" s="128"/>
      <c r="O85" s="128"/>
      <c r="P85" s="128"/>
      <c r="Q85" s="128"/>
      <c r="R85" s="128"/>
      <c r="S85" s="128"/>
      <c r="T85" s="128"/>
      <c r="U85" s="129"/>
      <c r="W85" s="35" t="str">
        <f>"-- "&amp;C85</f>
        <v>-- バックアップ_入院退院データ登録</v>
      </c>
    </row>
    <row r="86" spans="2:23" ht="18.75" customHeight="1">
      <c r="B86" s="43" t="s">
        <v>159</v>
      </c>
      <c r="C86" s="130"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31"/>
      <c r="E86" s="131"/>
      <c r="F86" s="131"/>
      <c r="G86" s="131"/>
      <c r="H86" s="131"/>
      <c r="I86" s="131"/>
      <c r="J86" s="131"/>
      <c r="K86" s="131"/>
      <c r="L86" s="131"/>
      <c r="M86" s="131"/>
      <c r="N86" s="131"/>
      <c r="O86" s="131"/>
      <c r="P86" s="131"/>
      <c r="Q86" s="131"/>
      <c r="R86" s="131"/>
      <c r="S86" s="131"/>
      <c r="T86" s="131"/>
      <c r="U86" s="132"/>
      <c r="W86" s="35" t="str">
        <f>"-- "&amp;C86</f>
        <v>-- 入院退院データテーブルから組入れ条件の第一条件で絞り込んだ結果をバックアップ_入院退院データテーブルに格納する。</v>
      </c>
    </row>
    <row r="88" spans="2:23" ht="18.75" customHeight="1">
      <c r="C88" s="119" t="s">
        <v>3490</v>
      </c>
      <c r="D88" s="120"/>
      <c r="E88" s="125" t="s">
        <v>162</v>
      </c>
      <c r="H88" s="36"/>
      <c r="I88" s="36"/>
      <c r="J88" s="36"/>
      <c r="K88" s="36"/>
      <c r="L88" s="36"/>
      <c r="M88" s="36"/>
      <c r="N88" s="36"/>
      <c r="O88" s="36"/>
      <c r="P88" s="36"/>
      <c r="Q88" s="36"/>
      <c r="R88" s="119" t="str">
        <f>"バックアップ_"&amp;SUBSTITUTE(C88,"_結合","")</f>
        <v>バックアップ_入院退院データ</v>
      </c>
      <c r="S88" s="120"/>
      <c r="T88" s="123" t="str">
        <f>エンティティ一覧!$O$2</f>
        <v>milscm_2023_009</v>
      </c>
    </row>
    <row r="89" spans="2:23" ht="18.75" customHeight="1">
      <c r="C89" s="121"/>
      <c r="D89" s="122"/>
      <c r="E89" s="126"/>
      <c r="F89" s="37"/>
      <c r="G89" s="38"/>
      <c r="H89" s="37"/>
      <c r="I89" s="37"/>
      <c r="J89" s="37"/>
      <c r="K89" s="37"/>
      <c r="L89" s="37"/>
      <c r="M89" s="37"/>
      <c r="N89" s="37"/>
      <c r="O89" s="37"/>
      <c r="P89" s="37"/>
      <c r="Q89" s="37"/>
      <c r="R89" s="121"/>
      <c r="S89" s="122"/>
      <c r="T89" s="124"/>
    </row>
    <row r="90" spans="2:23" ht="18.75" customHeight="1">
      <c r="F90" s="39"/>
      <c r="G90" s="40"/>
    </row>
    <row r="91" spans="2:23" ht="18.75" customHeight="1">
      <c r="C91" s="119" t="s">
        <v>3183</v>
      </c>
      <c r="D91" s="120"/>
      <c r="E91" s="123" t="str">
        <f>エンティティ一覧!$O$2</f>
        <v>milscm_2023_009</v>
      </c>
      <c r="G91" s="41"/>
    </row>
    <row r="92" spans="2:23" ht="18.75" customHeight="1">
      <c r="C92" s="121"/>
      <c r="D92" s="122"/>
      <c r="E92" s="124"/>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3491</v>
      </c>
      <c r="D96" s="88"/>
      <c r="W96" s="35" t="str">
        <f>"-- "&amp;B96&amp;" : "&amp;C96</f>
        <v>-- SQL_ID : 01_A1-07</v>
      </c>
    </row>
    <row r="97" spans="2:23" ht="18.75" customHeight="1">
      <c r="B97" s="43" t="s">
        <v>158</v>
      </c>
      <c r="C97" s="127" t="str">
        <f>R100&amp;"登録"</f>
        <v>バックアップ_二次利用DB登録患者データ登録</v>
      </c>
      <c r="D97" s="128"/>
      <c r="E97" s="128"/>
      <c r="F97" s="128"/>
      <c r="G97" s="128"/>
      <c r="H97" s="128"/>
      <c r="I97" s="128"/>
      <c r="J97" s="128"/>
      <c r="K97" s="128"/>
      <c r="L97" s="128"/>
      <c r="M97" s="128"/>
      <c r="N97" s="128"/>
      <c r="O97" s="128"/>
      <c r="P97" s="128"/>
      <c r="Q97" s="128"/>
      <c r="R97" s="128"/>
      <c r="S97" s="128"/>
      <c r="T97" s="128"/>
      <c r="U97" s="129"/>
      <c r="W97" s="35" t="str">
        <f>"-- "&amp;C97</f>
        <v>-- バックアップ_二次利用DB登録患者データ登録</v>
      </c>
    </row>
    <row r="98" spans="2:23" ht="18.75" customHeight="1">
      <c r="B98" s="43" t="s">
        <v>159</v>
      </c>
      <c r="C98" s="130"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31"/>
      <c r="E98" s="131"/>
      <c r="F98" s="131"/>
      <c r="G98" s="131"/>
      <c r="H98" s="131"/>
      <c r="I98" s="131"/>
      <c r="J98" s="131"/>
      <c r="K98" s="131"/>
      <c r="L98" s="131"/>
      <c r="M98" s="131"/>
      <c r="N98" s="131"/>
      <c r="O98" s="131"/>
      <c r="P98" s="131"/>
      <c r="Q98" s="131"/>
      <c r="R98" s="131"/>
      <c r="S98" s="131"/>
      <c r="T98" s="131"/>
      <c r="U98" s="132"/>
      <c r="W98" s="35" t="str">
        <f>"-- "&amp;C98</f>
        <v>-- 二次利用DB登録患者データテーブルから組入れ条件の第一条件で絞り込んだ結果をバックアップ_二次利用DB登録患者データテーブルに格納する。</v>
      </c>
    </row>
    <row r="100" spans="2:23" ht="18.75" customHeight="1">
      <c r="C100" s="119" t="s">
        <v>3492</v>
      </c>
      <c r="D100" s="120"/>
      <c r="E100" s="125" t="s">
        <v>162</v>
      </c>
      <c r="H100" s="36"/>
      <c r="I100" s="36"/>
      <c r="J100" s="36"/>
      <c r="K100" s="36"/>
      <c r="L100" s="36"/>
      <c r="M100" s="36"/>
      <c r="N100" s="36"/>
      <c r="O100" s="36"/>
      <c r="P100" s="36"/>
      <c r="Q100" s="36"/>
      <c r="R100" s="119" t="str">
        <f>"バックアップ_"&amp;SUBSTITUTE(C100,"_結合","")</f>
        <v>バックアップ_二次利用DB登録患者データ</v>
      </c>
      <c r="S100" s="120"/>
      <c r="T100" s="123" t="str">
        <f>エンティティ一覧!$O$2</f>
        <v>milscm_2023_009</v>
      </c>
    </row>
    <row r="101" spans="2:23" ht="18.75" customHeight="1">
      <c r="C101" s="121"/>
      <c r="D101" s="122"/>
      <c r="E101" s="126"/>
      <c r="F101" s="37"/>
      <c r="G101" s="38"/>
      <c r="H101" s="37"/>
      <c r="I101" s="37"/>
      <c r="J101" s="37"/>
      <c r="K101" s="37"/>
      <c r="L101" s="37"/>
      <c r="M101" s="37"/>
      <c r="N101" s="37"/>
      <c r="O101" s="37"/>
      <c r="P101" s="37"/>
      <c r="Q101" s="37"/>
      <c r="R101" s="121"/>
      <c r="S101" s="122"/>
      <c r="T101" s="124"/>
    </row>
    <row r="102" spans="2:23" ht="18.75" customHeight="1">
      <c r="F102" s="39"/>
      <c r="G102" s="40"/>
    </row>
    <row r="103" spans="2:23" ht="18.75" customHeight="1">
      <c r="C103" s="119" t="s">
        <v>3183</v>
      </c>
      <c r="D103" s="120"/>
      <c r="E103" s="123" t="str">
        <f>エンティティ一覧!$O$2</f>
        <v>milscm_2023_009</v>
      </c>
      <c r="G103" s="41"/>
    </row>
    <row r="104" spans="2:23" ht="18.75" customHeight="1">
      <c r="C104" s="121"/>
      <c r="D104" s="122"/>
      <c r="E104" s="124"/>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3493</v>
      </c>
      <c r="D108" s="88"/>
      <c r="W108" s="35" t="str">
        <f>"-- "&amp;B108&amp;" : "&amp;C108</f>
        <v>-- SQL_ID : 01_A1-08</v>
      </c>
    </row>
    <row r="109" spans="2:23" ht="18.75" customHeight="1">
      <c r="B109" s="43" t="s">
        <v>158</v>
      </c>
      <c r="C109" s="127" t="str">
        <f>R112&amp;"登録"</f>
        <v>バックアップ_二次利用DB登録患者データ_DPC登録</v>
      </c>
      <c r="D109" s="128"/>
      <c r="E109" s="128"/>
      <c r="F109" s="128"/>
      <c r="G109" s="128"/>
      <c r="H109" s="128"/>
      <c r="I109" s="128"/>
      <c r="J109" s="128"/>
      <c r="K109" s="128"/>
      <c r="L109" s="128"/>
      <c r="M109" s="128"/>
      <c r="N109" s="128"/>
      <c r="O109" s="128"/>
      <c r="P109" s="128"/>
      <c r="Q109" s="128"/>
      <c r="R109" s="128"/>
      <c r="S109" s="128"/>
      <c r="T109" s="128"/>
      <c r="U109" s="129"/>
      <c r="W109" s="35" t="str">
        <f>"-- "&amp;C109</f>
        <v>-- バックアップ_二次利用DB登録患者データ_DPC登録</v>
      </c>
    </row>
    <row r="110" spans="2:23" ht="18.75" customHeight="1">
      <c r="B110" s="43" t="s">
        <v>159</v>
      </c>
      <c r="C110" s="130"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31"/>
      <c r="E110" s="131"/>
      <c r="F110" s="131"/>
      <c r="G110" s="131"/>
      <c r="H110" s="131"/>
      <c r="I110" s="131"/>
      <c r="J110" s="131"/>
      <c r="K110" s="131"/>
      <c r="L110" s="131"/>
      <c r="M110" s="131"/>
      <c r="N110" s="131"/>
      <c r="O110" s="131"/>
      <c r="P110" s="131"/>
      <c r="Q110" s="131"/>
      <c r="R110" s="131"/>
      <c r="S110" s="131"/>
      <c r="T110" s="131"/>
      <c r="U110" s="132"/>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19" t="s">
        <v>3494</v>
      </c>
      <c r="D112" s="120"/>
      <c r="E112" s="125" t="s">
        <v>162</v>
      </c>
      <c r="H112" s="36"/>
      <c r="I112" s="36"/>
      <c r="J112" s="36"/>
      <c r="K112" s="36"/>
      <c r="L112" s="36"/>
      <c r="M112" s="36"/>
      <c r="N112" s="36"/>
      <c r="O112" s="36"/>
      <c r="P112" s="36"/>
      <c r="Q112" s="36"/>
      <c r="R112" s="119" t="str">
        <f>"バックアップ_"&amp;SUBSTITUTE(C112,"_結合","")</f>
        <v>バックアップ_二次利用DB登録患者データ_DPC</v>
      </c>
      <c r="S112" s="120"/>
      <c r="T112" s="123" t="str">
        <f>エンティティ一覧!$O$2</f>
        <v>milscm_2023_009</v>
      </c>
    </row>
    <row r="113" spans="2:23" ht="18.75" customHeight="1">
      <c r="C113" s="121"/>
      <c r="D113" s="122"/>
      <c r="E113" s="126"/>
      <c r="F113" s="37"/>
      <c r="G113" s="38"/>
      <c r="H113" s="37"/>
      <c r="I113" s="37"/>
      <c r="J113" s="37"/>
      <c r="K113" s="37"/>
      <c r="L113" s="37"/>
      <c r="M113" s="37"/>
      <c r="N113" s="37"/>
      <c r="O113" s="37"/>
      <c r="P113" s="37"/>
      <c r="Q113" s="37"/>
      <c r="R113" s="121"/>
      <c r="S113" s="122"/>
      <c r="T113" s="124"/>
    </row>
    <row r="114" spans="2:23" ht="18.75" customHeight="1">
      <c r="F114" s="39"/>
      <c r="G114" s="40"/>
    </row>
    <row r="115" spans="2:23" ht="18.75" customHeight="1">
      <c r="C115" s="119" t="s">
        <v>3183</v>
      </c>
      <c r="D115" s="120"/>
      <c r="E115" s="123" t="str">
        <f>エンティティ一覧!$O$2</f>
        <v>milscm_2023_009</v>
      </c>
      <c r="G115" s="41"/>
    </row>
    <row r="116" spans="2:23" ht="18.75" customHeight="1">
      <c r="C116" s="121"/>
      <c r="D116" s="122"/>
      <c r="E116" s="124"/>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3495</v>
      </c>
      <c r="D120" s="88"/>
      <c r="W120" s="35" t="str">
        <f>"-- "&amp;B120&amp;" : "&amp;C120</f>
        <v>-- SQL_ID : 01_A1-09</v>
      </c>
    </row>
    <row r="121" spans="2:23" ht="18.75" customHeight="1">
      <c r="B121" s="43" t="s">
        <v>158</v>
      </c>
      <c r="C121" s="127" t="str">
        <f>R124&amp;"登録"</f>
        <v>バックアップ_二次利用DB登録患者データ_レセプト登録</v>
      </c>
      <c r="D121" s="128"/>
      <c r="E121" s="128"/>
      <c r="F121" s="128"/>
      <c r="G121" s="128"/>
      <c r="H121" s="128"/>
      <c r="I121" s="128"/>
      <c r="J121" s="128"/>
      <c r="K121" s="128"/>
      <c r="L121" s="128"/>
      <c r="M121" s="128"/>
      <c r="N121" s="128"/>
      <c r="O121" s="128"/>
      <c r="P121" s="128"/>
      <c r="Q121" s="128"/>
      <c r="R121" s="128"/>
      <c r="S121" s="128"/>
      <c r="T121" s="128"/>
      <c r="U121" s="129"/>
      <c r="W121" s="35" t="str">
        <f>"-- "&amp;C121</f>
        <v>-- バックアップ_二次利用DB登録患者データ_レセプト登録</v>
      </c>
    </row>
    <row r="122" spans="2:23" ht="18.75" customHeight="1">
      <c r="B122" s="43" t="s">
        <v>159</v>
      </c>
      <c r="C122" s="130"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31"/>
      <c r="E122" s="131"/>
      <c r="F122" s="131"/>
      <c r="G122" s="131"/>
      <c r="H122" s="131"/>
      <c r="I122" s="131"/>
      <c r="J122" s="131"/>
      <c r="K122" s="131"/>
      <c r="L122" s="131"/>
      <c r="M122" s="131"/>
      <c r="N122" s="131"/>
      <c r="O122" s="131"/>
      <c r="P122" s="131"/>
      <c r="Q122" s="131"/>
      <c r="R122" s="131"/>
      <c r="S122" s="131"/>
      <c r="T122" s="131"/>
      <c r="U122" s="132"/>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19" t="s">
        <v>3496</v>
      </c>
      <c r="D124" s="120"/>
      <c r="E124" s="125" t="s">
        <v>162</v>
      </c>
      <c r="H124" s="36"/>
      <c r="I124" s="36"/>
      <c r="J124" s="36"/>
      <c r="K124" s="36"/>
      <c r="L124" s="36"/>
      <c r="M124" s="36"/>
      <c r="N124" s="36"/>
      <c r="O124" s="36"/>
      <c r="P124" s="36"/>
      <c r="Q124" s="36"/>
      <c r="R124" s="119" t="str">
        <f>"バックアップ_"&amp;SUBSTITUTE(C124,"_結合","")</f>
        <v>バックアップ_二次利用DB登録患者データ_レセプト</v>
      </c>
      <c r="S124" s="120"/>
      <c r="T124" s="123" t="str">
        <f>エンティティ一覧!$O$2</f>
        <v>milscm_2023_009</v>
      </c>
    </row>
    <row r="125" spans="2:23" ht="18.75" customHeight="1">
      <c r="C125" s="121"/>
      <c r="D125" s="122"/>
      <c r="E125" s="126"/>
      <c r="F125" s="37"/>
      <c r="G125" s="38"/>
      <c r="H125" s="37"/>
      <c r="I125" s="37"/>
      <c r="J125" s="37"/>
      <c r="K125" s="37"/>
      <c r="L125" s="37"/>
      <c r="M125" s="37"/>
      <c r="N125" s="37"/>
      <c r="O125" s="37"/>
      <c r="P125" s="37"/>
      <c r="Q125" s="37"/>
      <c r="R125" s="121"/>
      <c r="S125" s="122"/>
      <c r="T125" s="124"/>
    </row>
    <row r="126" spans="2:23" ht="18.75" customHeight="1">
      <c r="F126" s="39"/>
      <c r="G126" s="40"/>
    </row>
    <row r="127" spans="2:23" ht="18.75" customHeight="1">
      <c r="C127" s="119" t="s">
        <v>3183</v>
      </c>
      <c r="D127" s="120"/>
      <c r="E127" s="123" t="str">
        <f>エンティティ一覧!$O$2</f>
        <v>milscm_2023_009</v>
      </c>
      <c r="G127" s="41"/>
    </row>
    <row r="128" spans="2:23" ht="18.75" customHeight="1">
      <c r="C128" s="121"/>
      <c r="D128" s="122"/>
      <c r="E128" s="124"/>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3497</v>
      </c>
      <c r="D132" s="88"/>
      <c r="W132" s="35" t="str">
        <f>"-- "&amp;B132&amp;" : "&amp;C132</f>
        <v>-- SQL_ID : 01_A1-10</v>
      </c>
    </row>
    <row r="133" spans="2:23" ht="18.75" customHeight="1">
      <c r="B133" s="43" t="s">
        <v>158</v>
      </c>
      <c r="C133" s="127" t="str">
        <f>R136&amp;"登録"</f>
        <v>バックアップ_二次利用DB登録患者データ_MML登録</v>
      </c>
      <c r="D133" s="128"/>
      <c r="E133" s="128"/>
      <c r="F133" s="128"/>
      <c r="G133" s="128"/>
      <c r="H133" s="128"/>
      <c r="I133" s="128"/>
      <c r="J133" s="128"/>
      <c r="K133" s="128"/>
      <c r="L133" s="128"/>
      <c r="M133" s="128"/>
      <c r="N133" s="128"/>
      <c r="O133" s="128"/>
      <c r="P133" s="128"/>
      <c r="Q133" s="128"/>
      <c r="R133" s="128"/>
      <c r="S133" s="128"/>
      <c r="T133" s="128"/>
      <c r="U133" s="129"/>
      <c r="W133" s="35" t="str">
        <f>"-- "&amp;C133</f>
        <v>-- バックアップ_二次利用DB登録患者データ_MML登録</v>
      </c>
    </row>
    <row r="134" spans="2:23" ht="18.75" customHeight="1">
      <c r="B134" s="43" t="s">
        <v>159</v>
      </c>
      <c r="C134" s="130"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31"/>
      <c r="E134" s="131"/>
      <c r="F134" s="131"/>
      <c r="G134" s="131"/>
      <c r="H134" s="131"/>
      <c r="I134" s="131"/>
      <c r="J134" s="131"/>
      <c r="K134" s="131"/>
      <c r="L134" s="131"/>
      <c r="M134" s="131"/>
      <c r="N134" s="131"/>
      <c r="O134" s="131"/>
      <c r="P134" s="131"/>
      <c r="Q134" s="131"/>
      <c r="R134" s="131"/>
      <c r="S134" s="131"/>
      <c r="T134" s="131"/>
      <c r="U134" s="132"/>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19" t="s">
        <v>3498</v>
      </c>
      <c r="D136" s="120"/>
      <c r="E136" s="125" t="s">
        <v>162</v>
      </c>
      <c r="H136" s="36"/>
      <c r="I136" s="36"/>
      <c r="J136" s="36"/>
      <c r="K136" s="36"/>
      <c r="L136" s="36"/>
      <c r="M136" s="36"/>
      <c r="N136" s="36"/>
      <c r="O136" s="36"/>
      <c r="P136" s="36"/>
      <c r="Q136" s="36"/>
      <c r="R136" s="119" t="str">
        <f>"バックアップ_"&amp;SUBSTITUTE(C136,"_結合","")</f>
        <v>バックアップ_二次利用DB登録患者データ_MML</v>
      </c>
      <c r="S136" s="120"/>
      <c r="T136" s="123" t="str">
        <f>エンティティ一覧!$O$2</f>
        <v>milscm_2023_009</v>
      </c>
    </row>
    <row r="137" spans="2:23" ht="18.75" customHeight="1">
      <c r="C137" s="121"/>
      <c r="D137" s="122"/>
      <c r="E137" s="126"/>
      <c r="F137" s="37"/>
      <c r="G137" s="38"/>
      <c r="H137" s="37"/>
      <c r="I137" s="37"/>
      <c r="J137" s="37"/>
      <c r="K137" s="37"/>
      <c r="L137" s="37"/>
      <c r="M137" s="37"/>
      <c r="N137" s="37"/>
      <c r="O137" s="37"/>
      <c r="P137" s="37"/>
      <c r="Q137" s="37"/>
      <c r="R137" s="121"/>
      <c r="S137" s="122"/>
      <c r="T137" s="124"/>
    </row>
    <row r="138" spans="2:23" ht="18.75" customHeight="1">
      <c r="F138" s="39"/>
      <c r="G138" s="40"/>
    </row>
    <row r="139" spans="2:23" ht="18.75" customHeight="1">
      <c r="C139" s="119" t="s">
        <v>3183</v>
      </c>
      <c r="D139" s="120"/>
      <c r="E139" s="123" t="str">
        <f>エンティティ一覧!$O$2</f>
        <v>milscm_2023_009</v>
      </c>
      <c r="G139" s="41"/>
    </row>
    <row r="140" spans="2:23" ht="18.75" customHeight="1">
      <c r="C140" s="121"/>
      <c r="D140" s="122"/>
      <c r="E140" s="124"/>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3499</v>
      </c>
      <c r="D144" s="88"/>
      <c r="W144" s="35" t="str">
        <f>"-- "&amp;B144&amp;" : "&amp;C144</f>
        <v>-- SQL_ID : 01_A1-11</v>
      </c>
    </row>
    <row r="145" spans="2:23" ht="18.75" customHeight="1">
      <c r="B145" s="43" t="s">
        <v>158</v>
      </c>
      <c r="C145" s="127" t="str">
        <f>R148&amp;"登録"</f>
        <v>バックアップ_二次利用DB登録患者紐付けデータ登録</v>
      </c>
      <c r="D145" s="128"/>
      <c r="E145" s="128"/>
      <c r="F145" s="128"/>
      <c r="G145" s="128"/>
      <c r="H145" s="128"/>
      <c r="I145" s="128"/>
      <c r="J145" s="128"/>
      <c r="K145" s="128"/>
      <c r="L145" s="128"/>
      <c r="M145" s="128"/>
      <c r="N145" s="128"/>
      <c r="O145" s="128"/>
      <c r="P145" s="128"/>
      <c r="Q145" s="128"/>
      <c r="R145" s="128"/>
      <c r="S145" s="128"/>
      <c r="T145" s="128"/>
      <c r="U145" s="129"/>
      <c r="W145" s="35" t="str">
        <f>"-- "&amp;C145</f>
        <v>-- バックアップ_二次利用DB登録患者紐付けデータ登録</v>
      </c>
    </row>
    <row r="146" spans="2:23" ht="18.75" customHeight="1">
      <c r="B146" s="43" t="s">
        <v>159</v>
      </c>
      <c r="C146" s="130"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31"/>
      <c r="E146" s="131"/>
      <c r="F146" s="131"/>
      <c r="G146" s="131"/>
      <c r="H146" s="131"/>
      <c r="I146" s="131"/>
      <c r="J146" s="131"/>
      <c r="K146" s="131"/>
      <c r="L146" s="131"/>
      <c r="M146" s="131"/>
      <c r="N146" s="131"/>
      <c r="O146" s="131"/>
      <c r="P146" s="131"/>
      <c r="Q146" s="131"/>
      <c r="R146" s="131"/>
      <c r="S146" s="131"/>
      <c r="T146" s="131"/>
      <c r="U146" s="132"/>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19" t="s">
        <v>3500</v>
      </c>
      <c r="D148" s="120"/>
      <c r="E148" s="125" t="s">
        <v>162</v>
      </c>
      <c r="H148" s="36"/>
      <c r="I148" s="36"/>
      <c r="J148" s="36"/>
      <c r="K148" s="36"/>
      <c r="L148" s="36"/>
      <c r="M148" s="36"/>
      <c r="N148" s="36"/>
      <c r="O148" s="36"/>
      <c r="P148" s="36"/>
      <c r="Q148" s="36"/>
      <c r="R148" s="119" t="str">
        <f>"バックアップ_"&amp;SUBSTITUTE(C148,"_結合","")</f>
        <v>バックアップ_二次利用DB登録患者紐付けデータ</v>
      </c>
      <c r="S148" s="120"/>
      <c r="T148" s="123" t="str">
        <f>エンティティ一覧!$O$2</f>
        <v>milscm_2023_009</v>
      </c>
    </row>
    <row r="149" spans="2:23" ht="18.75" customHeight="1">
      <c r="C149" s="121"/>
      <c r="D149" s="122"/>
      <c r="E149" s="126"/>
      <c r="F149" s="37"/>
      <c r="G149" s="38"/>
      <c r="H149" s="37"/>
      <c r="I149" s="37"/>
      <c r="J149" s="37"/>
      <c r="K149" s="37"/>
      <c r="L149" s="37"/>
      <c r="M149" s="37"/>
      <c r="N149" s="37"/>
      <c r="O149" s="37"/>
      <c r="P149" s="37"/>
      <c r="Q149" s="37"/>
      <c r="R149" s="121"/>
      <c r="S149" s="122"/>
      <c r="T149" s="124"/>
    </row>
    <row r="150" spans="2:23" ht="18.75" customHeight="1">
      <c r="F150" s="39"/>
      <c r="G150" s="40"/>
    </row>
    <row r="151" spans="2:23" ht="18.75" customHeight="1">
      <c r="C151" s="119" t="s">
        <v>3183</v>
      </c>
      <c r="D151" s="120"/>
      <c r="E151" s="123" t="str">
        <f>エンティティ一覧!$O$2</f>
        <v>milscm_2023_009</v>
      </c>
      <c r="G151" s="41"/>
    </row>
    <row r="152" spans="2:23" ht="18.75" customHeight="1">
      <c r="C152" s="121"/>
      <c r="D152" s="122"/>
      <c r="E152" s="124"/>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3501</v>
      </c>
      <c r="D156" s="88"/>
      <c r="W156" s="35" t="str">
        <f>"-- "&amp;B156&amp;" : "&amp;C156</f>
        <v>-- SQL_ID : 01_A1-13</v>
      </c>
    </row>
    <row r="157" spans="2:23" ht="18.75" customHeight="1">
      <c r="B157" s="43" t="s">
        <v>158</v>
      </c>
      <c r="C157" s="127" t="str">
        <f>R160&amp;"登録"</f>
        <v>バックアップ_エラー患者データ登録</v>
      </c>
      <c r="D157" s="128"/>
      <c r="E157" s="128"/>
      <c r="F157" s="128"/>
      <c r="G157" s="128"/>
      <c r="H157" s="128"/>
      <c r="I157" s="128"/>
      <c r="J157" s="128"/>
      <c r="K157" s="128"/>
      <c r="L157" s="128"/>
      <c r="M157" s="128"/>
      <c r="N157" s="128"/>
      <c r="O157" s="128"/>
      <c r="P157" s="128"/>
      <c r="Q157" s="128"/>
      <c r="R157" s="128"/>
      <c r="S157" s="128"/>
      <c r="T157" s="128"/>
      <c r="U157" s="129"/>
      <c r="W157" s="35" t="str">
        <f>"-- "&amp;C157</f>
        <v>-- バックアップ_エラー患者データ登録</v>
      </c>
    </row>
    <row r="158" spans="2:23" ht="18.75" customHeight="1">
      <c r="B158" s="43" t="s">
        <v>159</v>
      </c>
      <c r="C158" s="130"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31"/>
      <c r="E158" s="131"/>
      <c r="F158" s="131"/>
      <c r="G158" s="131"/>
      <c r="H158" s="131"/>
      <c r="I158" s="131"/>
      <c r="J158" s="131"/>
      <c r="K158" s="131"/>
      <c r="L158" s="131"/>
      <c r="M158" s="131"/>
      <c r="N158" s="131"/>
      <c r="O158" s="131"/>
      <c r="P158" s="131"/>
      <c r="Q158" s="131"/>
      <c r="R158" s="131"/>
      <c r="S158" s="131"/>
      <c r="T158" s="131"/>
      <c r="U158" s="132"/>
      <c r="W158" s="35" t="str">
        <f>"-- "&amp;C158</f>
        <v>-- エラー患者データテーブルから組入れ条件の第一条件で絞り込んだ結果をバックアップ_エラー患者データテーブルに格納する。</v>
      </c>
    </row>
    <row r="160" spans="2:23" ht="18.75" customHeight="1">
      <c r="C160" s="119" t="s">
        <v>3502</v>
      </c>
      <c r="D160" s="120"/>
      <c r="E160" s="125" t="s">
        <v>162</v>
      </c>
      <c r="H160" s="36"/>
      <c r="I160" s="36"/>
      <c r="J160" s="36"/>
      <c r="K160" s="36"/>
      <c r="L160" s="36"/>
      <c r="M160" s="36"/>
      <c r="N160" s="36"/>
      <c r="O160" s="36"/>
      <c r="P160" s="36"/>
      <c r="Q160" s="36"/>
      <c r="R160" s="119" t="str">
        <f>"バックアップ_"&amp;SUBSTITUTE(C160,"_結合","")</f>
        <v>バックアップ_エラー患者データ</v>
      </c>
      <c r="S160" s="120"/>
      <c r="T160" s="123" t="str">
        <f>エンティティ一覧!$O$2</f>
        <v>milscm_2023_009</v>
      </c>
    </row>
    <row r="161" spans="2:23" ht="18.75" customHeight="1">
      <c r="C161" s="121"/>
      <c r="D161" s="122"/>
      <c r="E161" s="126"/>
      <c r="F161" s="37"/>
      <c r="G161" s="38"/>
      <c r="H161" s="37"/>
      <c r="I161" s="37"/>
      <c r="J161" s="37"/>
      <c r="K161" s="37"/>
      <c r="L161" s="37"/>
      <c r="M161" s="37"/>
      <c r="N161" s="37"/>
      <c r="O161" s="37"/>
      <c r="P161" s="37"/>
      <c r="Q161" s="37"/>
      <c r="R161" s="121"/>
      <c r="S161" s="122"/>
      <c r="T161" s="124"/>
    </row>
    <row r="162" spans="2:23" ht="18.75" customHeight="1">
      <c r="F162" s="39"/>
      <c r="G162" s="40"/>
    </row>
    <row r="163" spans="2:23" ht="18.75" customHeight="1">
      <c r="C163" s="119" t="s">
        <v>3183</v>
      </c>
      <c r="D163" s="120"/>
      <c r="E163" s="123" t="str">
        <f>エンティティ一覧!$O$2</f>
        <v>milscm_2023_009</v>
      </c>
      <c r="G163" s="41"/>
    </row>
    <row r="164" spans="2:23" ht="18.75" customHeight="1">
      <c r="C164" s="121"/>
      <c r="D164" s="122"/>
      <c r="E164" s="124"/>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3503</v>
      </c>
      <c r="D168" s="88"/>
      <c r="W168" s="35" t="str">
        <f>"-- "&amp;B168&amp;" : "&amp;C168</f>
        <v>-- SQL_ID : 01_A1-14</v>
      </c>
    </row>
    <row r="169" spans="2:23" ht="18.75" customHeight="1">
      <c r="B169" s="43" t="s">
        <v>158</v>
      </c>
      <c r="C169" s="127" t="str">
        <f>R172&amp;"登録"</f>
        <v>バックアップ_患者基本データ登録</v>
      </c>
      <c r="D169" s="128"/>
      <c r="E169" s="128"/>
      <c r="F169" s="128"/>
      <c r="G169" s="128"/>
      <c r="H169" s="128"/>
      <c r="I169" s="128"/>
      <c r="J169" s="128"/>
      <c r="K169" s="128"/>
      <c r="L169" s="128"/>
      <c r="M169" s="128"/>
      <c r="N169" s="128"/>
      <c r="O169" s="128"/>
      <c r="P169" s="128"/>
      <c r="Q169" s="128"/>
      <c r="R169" s="128"/>
      <c r="S169" s="128"/>
      <c r="T169" s="128"/>
      <c r="U169" s="129"/>
      <c r="W169" s="35" t="str">
        <f>"-- "&amp;C169</f>
        <v>-- バックアップ_患者基本データ登録</v>
      </c>
    </row>
    <row r="170" spans="2:23" ht="18.75" customHeight="1">
      <c r="B170" s="43" t="s">
        <v>159</v>
      </c>
      <c r="C170" s="130"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31"/>
      <c r="E170" s="131"/>
      <c r="F170" s="131"/>
      <c r="G170" s="131"/>
      <c r="H170" s="131"/>
      <c r="I170" s="131"/>
      <c r="J170" s="131"/>
      <c r="K170" s="131"/>
      <c r="L170" s="131"/>
      <c r="M170" s="131"/>
      <c r="N170" s="131"/>
      <c r="O170" s="131"/>
      <c r="P170" s="131"/>
      <c r="Q170" s="131"/>
      <c r="R170" s="131"/>
      <c r="S170" s="131"/>
      <c r="T170" s="131"/>
      <c r="U170" s="132"/>
      <c r="W170" s="35" t="str">
        <f>"-- "&amp;C170</f>
        <v>-- 患者基本データテーブルから組入れ条件の第一条件で絞り込んだ結果をバックアップ_患者基本データテーブルに格納する。</v>
      </c>
    </row>
    <row r="172" spans="2:23" ht="18.75" customHeight="1">
      <c r="C172" s="119" t="s">
        <v>3504</v>
      </c>
      <c r="D172" s="120"/>
      <c r="E172" s="125" t="s">
        <v>162</v>
      </c>
      <c r="H172" s="36"/>
      <c r="I172" s="36"/>
      <c r="J172" s="36"/>
      <c r="K172" s="36"/>
      <c r="L172" s="36"/>
      <c r="M172" s="36"/>
      <c r="N172" s="36"/>
      <c r="O172" s="36"/>
      <c r="P172" s="36"/>
      <c r="Q172" s="36"/>
      <c r="R172" s="119" t="str">
        <f>"バックアップ_"&amp;SUBSTITUTE(C172,"_結合","")</f>
        <v>バックアップ_患者基本データ</v>
      </c>
      <c r="S172" s="120"/>
      <c r="T172" s="123" t="str">
        <f>エンティティ一覧!$O$2</f>
        <v>milscm_2023_009</v>
      </c>
    </row>
    <row r="173" spans="2:23" ht="18.75" customHeight="1">
      <c r="C173" s="121"/>
      <c r="D173" s="122"/>
      <c r="E173" s="126"/>
      <c r="F173" s="37"/>
      <c r="G173" s="38"/>
      <c r="H173" s="37"/>
      <c r="I173" s="37"/>
      <c r="J173" s="37"/>
      <c r="K173" s="37"/>
      <c r="L173" s="37"/>
      <c r="M173" s="37"/>
      <c r="N173" s="37"/>
      <c r="O173" s="37"/>
      <c r="P173" s="37"/>
      <c r="Q173" s="37"/>
      <c r="R173" s="121"/>
      <c r="S173" s="122"/>
      <c r="T173" s="124"/>
    </row>
    <row r="174" spans="2:23" ht="18.75" customHeight="1">
      <c r="F174" s="39"/>
      <c r="G174" s="40"/>
    </row>
    <row r="175" spans="2:23" ht="18.75" customHeight="1">
      <c r="C175" s="119" t="s">
        <v>3183</v>
      </c>
      <c r="D175" s="120"/>
      <c r="E175" s="123" t="str">
        <f>エンティティ一覧!$O$2</f>
        <v>milscm_2023_009</v>
      </c>
      <c r="G175" s="41"/>
    </row>
    <row r="176" spans="2:23" ht="18.75" customHeight="1">
      <c r="C176" s="121"/>
      <c r="D176" s="122"/>
      <c r="E176" s="124"/>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3505</v>
      </c>
      <c r="D180" s="88"/>
      <c r="W180" s="35" t="str">
        <f>"-- "&amp;B180&amp;" : "&amp;C180</f>
        <v>-- SQL_ID : 01_A3-02</v>
      </c>
    </row>
    <row r="181" spans="2:23" ht="18.75" customHeight="1">
      <c r="B181" s="43" t="s">
        <v>158</v>
      </c>
      <c r="C181" s="127" t="str">
        <f>R184&amp;"登録"</f>
        <v>バックアップ_施設属性マスタ取込用登録</v>
      </c>
      <c r="D181" s="128"/>
      <c r="E181" s="128"/>
      <c r="F181" s="128"/>
      <c r="G181" s="128"/>
      <c r="H181" s="128"/>
      <c r="I181" s="128"/>
      <c r="J181" s="128"/>
      <c r="K181" s="128"/>
      <c r="L181" s="128"/>
      <c r="M181" s="128"/>
      <c r="N181" s="128"/>
      <c r="O181" s="128"/>
      <c r="P181" s="128"/>
      <c r="Q181" s="128"/>
      <c r="R181" s="128"/>
      <c r="S181" s="128"/>
      <c r="T181" s="128"/>
      <c r="U181" s="129"/>
      <c r="W181" s="35" t="str">
        <f>"-- "&amp;C181</f>
        <v>-- バックアップ_施設属性マスタ取込用登録</v>
      </c>
    </row>
    <row r="182" spans="2:23" ht="18.75" customHeight="1">
      <c r="B182" s="43" t="s">
        <v>159</v>
      </c>
      <c r="C182" s="130" t="str">
        <f>C184&amp;"テーブルのレコードを"&amp;R184&amp;"テーブルに格納する。"</f>
        <v>施設属性マスタ取込用テーブルのレコードをバックアップ_施設属性マスタ取込用テーブルに格納する。</v>
      </c>
      <c r="D182" s="131"/>
      <c r="E182" s="131"/>
      <c r="F182" s="131"/>
      <c r="G182" s="131"/>
      <c r="H182" s="131"/>
      <c r="I182" s="131"/>
      <c r="J182" s="131"/>
      <c r="K182" s="131"/>
      <c r="L182" s="131"/>
      <c r="M182" s="131"/>
      <c r="N182" s="131"/>
      <c r="O182" s="131"/>
      <c r="P182" s="131"/>
      <c r="Q182" s="131"/>
      <c r="R182" s="131"/>
      <c r="S182" s="131"/>
      <c r="T182" s="131"/>
      <c r="U182" s="132"/>
      <c r="W182" s="35" t="str">
        <f>"-- "&amp;C182</f>
        <v>-- 施設属性マスタ取込用テーブルのレコードをバックアップ_施設属性マスタ取込用テーブルに格納する。</v>
      </c>
    </row>
    <row r="184" spans="2:23" ht="18.75" customHeight="1">
      <c r="C184" s="119" t="s">
        <v>3506</v>
      </c>
      <c r="D184" s="120"/>
      <c r="E184" s="125" t="s">
        <v>162</v>
      </c>
      <c r="F184" s="36"/>
      <c r="G184" s="36"/>
      <c r="H184" s="36"/>
      <c r="I184" s="36"/>
      <c r="J184" s="36"/>
      <c r="K184" s="36"/>
      <c r="L184" s="36"/>
      <c r="M184" s="36"/>
      <c r="N184" s="36"/>
      <c r="O184" s="36"/>
      <c r="P184" s="36"/>
      <c r="Q184" s="36"/>
      <c r="R184" s="119" t="str">
        <f>"バックアップ_"&amp;SUBSTITUTE(C184,"_結合","")</f>
        <v>バックアップ_施設属性マスタ取込用</v>
      </c>
      <c r="S184" s="120"/>
      <c r="T184" s="123" t="str">
        <f>エンティティ一覧!$O$2</f>
        <v>milscm_2023_009</v>
      </c>
    </row>
    <row r="185" spans="2:23" ht="18.75" customHeight="1">
      <c r="C185" s="121"/>
      <c r="D185" s="122"/>
      <c r="E185" s="126"/>
      <c r="F185" s="37"/>
      <c r="G185" s="37"/>
      <c r="H185" s="37"/>
      <c r="I185" s="37"/>
      <c r="J185" s="37"/>
      <c r="K185" s="37"/>
      <c r="L185" s="37"/>
      <c r="M185" s="37"/>
      <c r="N185" s="37"/>
      <c r="O185" s="37"/>
      <c r="P185" s="37"/>
      <c r="Q185" s="37"/>
      <c r="R185" s="121"/>
      <c r="S185" s="122"/>
      <c r="T185" s="124"/>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3507</v>
      </c>
      <c r="D189" s="88"/>
      <c r="W189" s="35" t="str">
        <f>"-- "&amp;B189&amp;" : "&amp;C189</f>
        <v>-- SQL_ID : 01_A3-03</v>
      </c>
    </row>
    <row r="190" spans="2:23" ht="18.75" customHeight="1">
      <c r="B190" s="43" t="s">
        <v>158</v>
      </c>
      <c r="C190" s="127" t="str">
        <f>R193&amp;"登録"</f>
        <v>バックアップ_二次医療圏マスタ取込用登録</v>
      </c>
      <c r="D190" s="128"/>
      <c r="E190" s="128"/>
      <c r="F190" s="128"/>
      <c r="G190" s="128"/>
      <c r="H190" s="128"/>
      <c r="I190" s="128"/>
      <c r="J190" s="128"/>
      <c r="K190" s="128"/>
      <c r="L190" s="128"/>
      <c r="M190" s="128"/>
      <c r="N190" s="128"/>
      <c r="O190" s="128"/>
      <c r="P190" s="128"/>
      <c r="Q190" s="128"/>
      <c r="R190" s="128"/>
      <c r="S190" s="128"/>
      <c r="T190" s="128"/>
      <c r="U190" s="129"/>
      <c r="W190" s="35" t="str">
        <f>"-- "&amp;C190</f>
        <v>-- バックアップ_二次医療圏マスタ取込用登録</v>
      </c>
    </row>
    <row r="191" spans="2:23" ht="18.75" customHeight="1">
      <c r="B191" s="43" t="s">
        <v>159</v>
      </c>
      <c r="C191" s="130" t="str">
        <f>C193&amp;"テーブルのレコードを"&amp;R193&amp;"テーブルに格納する。"</f>
        <v>二次医療圏マスタ取込用テーブルのレコードをバックアップ_二次医療圏マスタ取込用テーブルに格納する。</v>
      </c>
      <c r="D191" s="131"/>
      <c r="E191" s="131"/>
      <c r="F191" s="131"/>
      <c r="G191" s="131"/>
      <c r="H191" s="131"/>
      <c r="I191" s="131"/>
      <c r="J191" s="131"/>
      <c r="K191" s="131"/>
      <c r="L191" s="131"/>
      <c r="M191" s="131"/>
      <c r="N191" s="131"/>
      <c r="O191" s="131"/>
      <c r="P191" s="131"/>
      <c r="Q191" s="131"/>
      <c r="R191" s="131"/>
      <c r="S191" s="131"/>
      <c r="T191" s="131"/>
      <c r="U191" s="132"/>
      <c r="W191" s="35" t="str">
        <f>"-- "&amp;C191</f>
        <v>-- 二次医療圏マスタ取込用テーブルのレコードをバックアップ_二次医療圏マスタ取込用テーブルに格納する。</v>
      </c>
    </row>
    <row r="193" spans="2:23" ht="18.75" customHeight="1">
      <c r="C193" s="119" t="s">
        <v>3508</v>
      </c>
      <c r="D193" s="120"/>
      <c r="E193" s="125" t="s">
        <v>162</v>
      </c>
      <c r="F193" s="36"/>
      <c r="G193" s="36"/>
      <c r="H193" s="36"/>
      <c r="I193" s="36"/>
      <c r="J193" s="36"/>
      <c r="K193" s="36"/>
      <c r="L193" s="36"/>
      <c r="M193" s="36"/>
      <c r="N193" s="36"/>
      <c r="O193" s="36"/>
      <c r="P193" s="36"/>
      <c r="Q193" s="36"/>
      <c r="R193" s="119" t="str">
        <f>"バックアップ_"&amp;SUBSTITUTE(C193,"_結合","")</f>
        <v>バックアップ_二次医療圏マスタ取込用</v>
      </c>
      <c r="S193" s="120"/>
      <c r="T193" s="123" t="str">
        <f>エンティティ一覧!$O$2</f>
        <v>milscm_2023_009</v>
      </c>
    </row>
    <row r="194" spans="2:23" ht="18.75" customHeight="1">
      <c r="C194" s="121"/>
      <c r="D194" s="122"/>
      <c r="E194" s="126"/>
      <c r="F194" s="37"/>
      <c r="G194" s="37"/>
      <c r="H194" s="37"/>
      <c r="I194" s="37"/>
      <c r="J194" s="37"/>
      <c r="K194" s="37"/>
      <c r="L194" s="37"/>
      <c r="M194" s="37"/>
      <c r="N194" s="37"/>
      <c r="O194" s="37"/>
      <c r="P194" s="37"/>
      <c r="Q194" s="37"/>
      <c r="R194" s="121"/>
      <c r="S194" s="122"/>
      <c r="T194" s="124"/>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3509</v>
      </c>
      <c r="D198" s="88"/>
      <c r="W198" s="35" t="str">
        <f>"-- "&amp;B198&amp;" : "&amp;C198</f>
        <v>-- SQL_ID : 01_A3-04</v>
      </c>
    </row>
    <row r="199" spans="2:23" ht="18.75" customHeight="1">
      <c r="B199" s="43" t="s">
        <v>158</v>
      </c>
      <c r="C199" s="127" t="str">
        <f>R202&amp;"登録"</f>
        <v>バックアップ_新旧医薬品コードマスタ取込用登録</v>
      </c>
      <c r="D199" s="128"/>
      <c r="E199" s="128"/>
      <c r="F199" s="128"/>
      <c r="G199" s="128"/>
      <c r="H199" s="128"/>
      <c r="I199" s="128"/>
      <c r="J199" s="128"/>
      <c r="K199" s="128"/>
      <c r="L199" s="128"/>
      <c r="M199" s="128"/>
      <c r="N199" s="128"/>
      <c r="O199" s="128"/>
      <c r="P199" s="128"/>
      <c r="Q199" s="128"/>
      <c r="R199" s="128"/>
      <c r="S199" s="128"/>
      <c r="T199" s="128"/>
      <c r="U199" s="129"/>
      <c r="W199" s="35" t="str">
        <f>"-- "&amp;C199</f>
        <v>-- バックアップ_新旧医薬品コードマスタ取込用登録</v>
      </c>
    </row>
    <row r="200" spans="2:23" ht="18.75" customHeight="1">
      <c r="B200" s="43" t="s">
        <v>159</v>
      </c>
      <c r="C200" s="130" t="str">
        <f>C202&amp;"テーブルのレコードを"&amp;R202&amp;"テーブルに格納する。"</f>
        <v>新旧医薬品コードマスタ取込用テーブルのレコードをバックアップ_新旧医薬品コードマスタ取込用テーブルに格納する。</v>
      </c>
      <c r="D200" s="131"/>
      <c r="E200" s="131"/>
      <c r="F200" s="131"/>
      <c r="G200" s="131"/>
      <c r="H200" s="131"/>
      <c r="I200" s="131"/>
      <c r="J200" s="131"/>
      <c r="K200" s="131"/>
      <c r="L200" s="131"/>
      <c r="M200" s="131"/>
      <c r="N200" s="131"/>
      <c r="O200" s="131"/>
      <c r="P200" s="131"/>
      <c r="Q200" s="131"/>
      <c r="R200" s="131"/>
      <c r="S200" s="131"/>
      <c r="T200" s="131"/>
      <c r="U200" s="132"/>
      <c r="W200" s="35" t="str">
        <f>"-- "&amp;C200</f>
        <v>-- 新旧医薬品コードマスタ取込用テーブルのレコードをバックアップ_新旧医薬品コードマスタ取込用テーブルに格納する。</v>
      </c>
    </row>
    <row r="202" spans="2:23" ht="18.75" customHeight="1">
      <c r="C202" s="119" t="s">
        <v>3510</v>
      </c>
      <c r="D202" s="120"/>
      <c r="E202" s="125" t="s">
        <v>162</v>
      </c>
      <c r="F202" s="36"/>
      <c r="G202" s="36"/>
      <c r="H202" s="36"/>
      <c r="I202" s="36"/>
      <c r="J202" s="36"/>
      <c r="K202" s="36"/>
      <c r="L202" s="36"/>
      <c r="M202" s="36"/>
      <c r="N202" s="36"/>
      <c r="O202" s="36"/>
      <c r="P202" s="36"/>
      <c r="Q202" s="36"/>
      <c r="R202" s="119" t="str">
        <f>"バックアップ_"&amp;SUBSTITUTE(C202,"_結合","")</f>
        <v>バックアップ_新旧医薬品コードマスタ取込用</v>
      </c>
      <c r="S202" s="120"/>
      <c r="T202" s="123" t="str">
        <f>エンティティ一覧!$O$2</f>
        <v>milscm_2023_009</v>
      </c>
    </row>
    <row r="203" spans="2:23" ht="18.75" customHeight="1">
      <c r="C203" s="121"/>
      <c r="D203" s="122"/>
      <c r="E203" s="126"/>
      <c r="F203" s="37"/>
      <c r="G203" s="37"/>
      <c r="H203" s="37"/>
      <c r="I203" s="37"/>
      <c r="J203" s="37"/>
      <c r="K203" s="37"/>
      <c r="L203" s="37"/>
      <c r="M203" s="37"/>
      <c r="N203" s="37"/>
      <c r="O203" s="37"/>
      <c r="P203" s="37"/>
      <c r="Q203" s="37"/>
      <c r="R203" s="121"/>
      <c r="S203" s="122"/>
      <c r="T203" s="124"/>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3511</v>
      </c>
      <c r="D207" s="88"/>
      <c r="W207" s="35" t="str">
        <f>"-- "&amp;B207&amp;" : "&amp;C207</f>
        <v>-- SQL_ID : 01_A3-05</v>
      </c>
    </row>
    <row r="208" spans="2:23" ht="18.75" customHeight="1">
      <c r="B208" s="43" t="s">
        <v>158</v>
      </c>
      <c r="C208" s="127" t="str">
        <f>R211&amp;"登録"</f>
        <v>バックアップ_DPC6ICD10対応表マスタ取込用登録</v>
      </c>
      <c r="D208" s="128"/>
      <c r="E208" s="128"/>
      <c r="F208" s="128"/>
      <c r="G208" s="128"/>
      <c r="H208" s="128"/>
      <c r="I208" s="128"/>
      <c r="J208" s="128"/>
      <c r="K208" s="128"/>
      <c r="L208" s="128"/>
      <c r="M208" s="128"/>
      <c r="N208" s="128"/>
      <c r="O208" s="128"/>
      <c r="P208" s="128"/>
      <c r="Q208" s="128"/>
      <c r="R208" s="128"/>
      <c r="S208" s="128"/>
      <c r="T208" s="128"/>
      <c r="U208" s="129"/>
      <c r="W208" s="35" t="str">
        <f>"-- "&amp;C208</f>
        <v>-- バックアップ_DPC6ICD10対応表マスタ取込用登録</v>
      </c>
    </row>
    <row r="209" spans="2:23" ht="18.75" customHeight="1">
      <c r="B209" s="43" t="s">
        <v>159</v>
      </c>
      <c r="C209" s="130" t="str">
        <f>C211&amp;"テーブルのレコードを"&amp;R211&amp;"テーブルに格納する。"</f>
        <v>DPC6ICD10対応表マスタ取込用テーブルのレコードをバックアップ_DPC6ICD10対応表マスタ取込用テーブルに格納する。</v>
      </c>
      <c r="D209" s="131"/>
      <c r="E209" s="131"/>
      <c r="F209" s="131"/>
      <c r="G209" s="131"/>
      <c r="H209" s="131"/>
      <c r="I209" s="131"/>
      <c r="J209" s="131"/>
      <c r="K209" s="131"/>
      <c r="L209" s="131"/>
      <c r="M209" s="131"/>
      <c r="N209" s="131"/>
      <c r="O209" s="131"/>
      <c r="P209" s="131"/>
      <c r="Q209" s="131"/>
      <c r="R209" s="131"/>
      <c r="S209" s="131"/>
      <c r="T209" s="131"/>
      <c r="U209" s="132"/>
      <c r="W209" s="35" t="str">
        <f>"-- "&amp;C209</f>
        <v>-- DPC6ICD10対応表マスタ取込用テーブルのレコードをバックアップ_DPC6ICD10対応表マスタ取込用テーブルに格納する。</v>
      </c>
    </row>
    <row r="211" spans="2:23" ht="18.75" customHeight="1">
      <c r="C211" s="119" t="s">
        <v>3512</v>
      </c>
      <c r="D211" s="120"/>
      <c r="E211" s="125" t="s">
        <v>162</v>
      </c>
      <c r="F211" s="36"/>
      <c r="G211" s="36"/>
      <c r="H211" s="36"/>
      <c r="I211" s="36"/>
      <c r="J211" s="36"/>
      <c r="K211" s="36"/>
      <c r="L211" s="36"/>
      <c r="M211" s="36"/>
      <c r="N211" s="36"/>
      <c r="O211" s="36"/>
      <c r="P211" s="36"/>
      <c r="Q211" s="36"/>
      <c r="R211" s="119" t="str">
        <f>"バックアップ_"&amp;SUBSTITUTE(C211,"_結合","")</f>
        <v>バックアップ_DPC6ICD10対応表マスタ取込用</v>
      </c>
      <c r="S211" s="120"/>
      <c r="T211" s="123" t="str">
        <f>エンティティ一覧!$O$2</f>
        <v>milscm_2023_009</v>
      </c>
    </row>
    <row r="212" spans="2:23" ht="18.75" customHeight="1">
      <c r="C212" s="121"/>
      <c r="D212" s="122"/>
      <c r="E212" s="126"/>
      <c r="F212" s="37"/>
      <c r="G212" s="37"/>
      <c r="H212" s="37"/>
      <c r="I212" s="37"/>
      <c r="J212" s="37"/>
      <c r="K212" s="37"/>
      <c r="L212" s="37"/>
      <c r="M212" s="37"/>
      <c r="N212" s="37"/>
      <c r="O212" s="37"/>
      <c r="P212" s="37"/>
      <c r="Q212" s="37"/>
      <c r="R212" s="121"/>
      <c r="S212" s="122"/>
      <c r="T212" s="124"/>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3513</v>
      </c>
      <c r="D216" s="88"/>
      <c r="W216" s="35" t="str">
        <f>"-- "&amp;B216&amp;" : "&amp;C216</f>
        <v>-- SQL_ID : 01_A3-06</v>
      </c>
    </row>
    <row r="217" spans="2:23" ht="18.75" customHeight="1">
      <c r="B217" s="43" t="s">
        <v>158</v>
      </c>
      <c r="C217" s="127" t="str">
        <f>R220&amp;"登録"</f>
        <v>バックアップ_修飾語マスタ取込用登録</v>
      </c>
      <c r="D217" s="128"/>
      <c r="E217" s="128"/>
      <c r="F217" s="128"/>
      <c r="G217" s="128"/>
      <c r="H217" s="128"/>
      <c r="I217" s="128"/>
      <c r="J217" s="128"/>
      <c r="K217" s="128"/>
      <c r="L217" s="128"/>
      <c r="M217" s="128"/>
      <c r="N217" s="128"/>
      <c r="O217" s="128"/>
      <c r="P217" s="128"/>
      <c r="Q217" s="128"/>
      <c r="R217" s="128"/>
      <c r="S217" s="128"/>
      <c r="T217" s="128"/>
      <c r="U217" s="129"/>
      <c r="W217" s="35" t="str">
        <f>"-- "&amp;C217</f>
        <v>-- バックアップ_修飾語マスタ取込用登録</v>
      </c>
    </row>
    <row r="218" spans="2:23" ht="18.75" customHeight="1">
      <c r="B218" s="43" t="s">
        <v>159</v>
      </c>
      <c r="C218" s="130" t="str">
        <f>C220&amp;"テーブルのレコードを"&amp;R220&amp;"テーブルに格納する。"</f>
        <v>修飾語マスタ取込用テーブルのレコードをバックアップ_修飾語マスタ取込用テーブルに格納する。</v>
      </c>
      <c r="D218" s="131"/>
      <c r="E218" s="131"/>
      <c r="F218" s="131"/>
      <c r="G218" s="131"/>
      <c r="H218" s="131"/>
      <c r="I218" s="131"/>
      <c r="J218" s="131"/>
      <c r="K218" s="131"/>
      <c r="L218" s="131"/>
      <c r="M218" s="131"/>
      <c r="N218" s="131"/>
      <c r="O218" s="131"/>
      <c r="P218" s="131"/>
      <c r="Q218" s="131"/>
      <c r="R218" s="131"/>
      <c r="S218" s="131"/>
      <c r="T218" s="131"/>
      <c r="U218" s="132"/>
      <c r="W218" s="35" t="str">
        <f>"-- "&amp;C218</f>
        <v>-- 修飾語マスタ取込用テーブルのレコードをバックアップ_修飾語マスタ取込用テーブルに格納する。</v>
      </c>
    </row>
    <row r="220" spans="2:23" ht="18.75" customHeight="1">
      <c r="C220" s="119" t="s">
        <v>3514</v>
      </c>
      <c r="D220" s="120"/>
      <c r="E220" s="125" t="s">
        <v>162</v>
      </c>
      <c r="F220" s="36"/>
      <c r="G220" s="36"/>
      <c r="H220" s="36"/>
      <c r="I220" s="36"/>
      <c r="J220" s="36"/>
      <c r="K220" s="36"/>
      <c r="L220" s="36"/>
      <c r="M220" s="36"/>
      <c r="N220" s="36"/>
      <c r="O220" s="36"/>
      <c r="P220" s="36"/>
      <c r="Q220" s="36"/>
      <c r="R220" s="119" t="str">
        <f>"バックアップ_"&amp;SUBSTITUTE(C220,"_結合","")</f>
        <v>バックアップ_修飾語マスタ取込用</v>
      </c>
      <c r="S220" s="120"/>
      <c r="T220" s="123" t="str">
        <f>エンティティ一覧!$O$2</f>
        <v>milscm_2023_009</v>
      </c>
    </row>
    <row r="221" spans="2:23" ht="18.75" customHeight="1">
      <c r="C221" s="121"/>
      <c r="D221" s="122"/>
      <c r="E221" s="126"/>
      <c r="F221" s="37"/>
      <c r="G221" s="37"/>
      <c r="H221" s="37"/>
      <c r="I221" s="37"/>
      <c r="J221" s="37"/>
      <c r="K221" s="37"/>
      <c r="L221" s="37"/>
      <c r="M221" s="37"/>
      <c r="N221" s="37"/>
      <c r="O221" s="37"/>
      <c r="P221" s="37"/>
      <c r="Q221" s="37"/>
      <c r="R221" s="121"/>
      <c r="S221" s="122"/>
      <c r="T221" s="124"/>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3515</v>
      </c>
      <c r="D225" s="88"/>
      <c r="W225" s="35" t="str">
        <f>"-- "&amp;B225&amp;" : "&amp;C225</f>
        <v>-- SQL_ID : 01_A3-07</v>
      </c>
    </row>
    <row r="226" spans="2:23" ht="18.75" customHeight="1">
      <c r="B226" s="43" t="s">
        <v>158</v>
      </c>
      <c r="C226" s="127" t="str">
        <f>R229&amp;"登録"</f>
        <v>バックアップ_コメントマスタ取込用登録</v>
      </c>
      <c r="D226" s="128"/>
      <c r="E226" s="128"/>
      <c r="F226" s="128"/>
      <c r="G226" s="128"/>
      <c r="H226" s="128"/>
      <c r="I226" s="128"/>
      <c r="J226" s="128"/>
      <c r="K226" s="128"/>
      <c r="L226" s="128"/>
      <c r="M226" s="128"/>
      <c r="N226" s="128"/>
      <c r="O226" s="128"/>
      <c r="P226" s="128"/>
      <c r="Q226" s="128"/>
      <c r="R226" s="128"/>
      <c r="S226" s="128"/>
      <c r="T226" s="128"/>
      <c r="U226" s="129"/>
      <c r="W226" s="35" t="str">
        <f>"-- "&amp;C226</f>
        <v>-- バックアップ_コメントマスタ取込用登録</v>
      </c>
    </row>
    <row r="227" spans="2:23" ht="18.75" customHeight="1">
      <c r="B227" s="43" t="s">
        <v>159</v>
      </c>
      <c r="C227" s="130" t="str">
        <f>C229&amp;"テーブルのレコードを"&amp;R229&amp;"テーブルに格納する。"</f>
        <v>コメントマスタ取込用テーブルのレコードをバックアップ_コメントマスタ取込用テーブルに格納する。</v>
      </c>
      <c r="D227" s="131"/>
      <c r="E227" s="131"/>
      <c r="F227" s="131"/>
      <c r="G227" s="131"/>
      <c r="H227" s="131"/>
      <c r="I227" s="131"/>
      <c r="J227" s="131"/>
      <c r="K227" s="131"/>
      <c r="L227" s="131"/>
      <c r="M227" s="131"/>
      <c r="N227" s="131"/>
      <c r="O227" s="131"/>
      <c r="P227" s="131"/>
      <c r="Q227" s="131"/>
      <c r="R227" s="131"/>
      <c r="S227" s="131"/>
      <c r="T227" s="131"/>
      <c r="U227" s="132"/>
      <c r="W227" s="35" t="str">
        <f>"-- "&amp;C227</f>
        <v>-- コメントマスタ取込用テーブルのレコードをバックアップ_コメントマスタ取込用テーブルに格納する。</v>
      </c>
    </row>
    <row r="229" spans="2:23" ht="18.75" customHeight="1">
      <c r="C229" s="119" t="s">
        <v>3516</v>
      </c>
      <c r="D229" s="120"/>
      <c r="E229" s="125" t="s">
        <v>162</v>
      </c>
      <c r="F229" s="36"/>
      <c r="G229" s="36"/>
      <c r="H229" s="36"/>
      <c r="I229" s="36"/>
      <c r="J229" s="36"/>
      <c r="K229" s="36"/>
      <c r="L229" s="36"/>
      <c r="M229" s="36"/>
      <c r="N229" s="36"/>
      <c r="O229" s="36"/>
      <c r="P229" s="36"/>
      <c r="Q229" s="36"/>
      <c r="R229" s="119" t="str">
        <f>"バックアップ_"&amp;SUBSTITUTE(C229,"_結合","")</f>
        <v>バックアップ_コメントマスタ取込用</v>
      </c>
      <c r="S229" s="120"/>
      <c r="T229" s="123" t="str">
        <f>エンティティ一覧!$O$2</f>
        <v>milscm_2023_009</v>
      </c>
    </row>
    <row r="230" spans="2:23" ht="18.75" customHeight="1">
      <c r="C230" s="121"/>
      <c r="D230" s="122"/>
      <c r="E230" s="126"/>
      <c r="F230" s="37"/>
      <c r="G230" s="37"/>
      <c r="H230" s="37"/>
      <c r="I230" s="37"/>
      <c r="J230" s="37"/>
      <c r="K230" s="37"/>
      <c r="L230" s="37"/>
      <c r="M230" s="37"/>
      <c r="N230" s="37"/>
      <c r="O230" s="37"/>
      <c r="P230" s="37"/>
      <c r="Q230" s="37"/>
      <c r="R230" s="121"/>
      <c r="S230" s="122"/>
      <c r="T230" s="124"/>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3517</v>
      </c>
      <c r="D234" s="88"/>
      <c r="W234" s="35" t="str">
        <f>"-- "&amp;B234&amp;" : "&amp;C234</f>
        <v>-- SQL_ID : 01_A3-08</v>
      </c>
    </row>
    <row r="235" spans="2:23" ht="18.75" customHeight="1">
      <c r="B235" s="43" t="s">
        <v>158</v>
      </c>
      <c r="C235" s="127" t="str">
        <f>R238&amp;"登録"</f>
        <v>バックアップ_成分量マスタ取込用登録</v>
      </c>
      <c r="D235" s="128"/>
      <c r="E235" s="128"/>
      <c r="F235" s="128"/>
      <c r="G235" s="128"/>
      <c r="H235" s="128"/>
      <c r="I235" s="128"/>
      <c r="J235" s="128"/>
      <c r="K235" s="128"/>
      <c r="L235" s="128"/>
      <c r="M235" s="128"/>
      <c r="N235" s="128"/>
      <c r="O235" s="128"/>
      <c r="P235" s="128"/>
      <c r="Q235" s="128"/>
      <c r="R235" s="128"/>
      <c r="S235" s="128"/>
      <c r="T235" s="128"/>
      <c r="U235" s="129"/>
      <c r="W235" s="35" t="str">
        <f>"-- "&amp;C235</f>
        <v>-- バックアップ_成分量マスタ取込用登録</v>
      </c>
    </row>
    <row r="236" spans="2:23" ht="18.75" customHeight="1">
      <c r="B236" s="43" t="s">
        <v>159</v>
      </c>
      <c r="C236" s="130" t="str">
        <f>C238&amp;"テーブルのレコードを"&amp;R238&amp;"テーブルに格納する。"</f>
        <v>成分量マスタ取込用テーブルのレコードをバックアップ_成分量マスタ取込用テーブルに格納する。</v>
      </c>
      <c r="D236" s="131"/>
      <c r="E236" s="131"/>
      <c r="F236" s="131"/>
      <c r="G236" s="131"/>
      <c r="H236" s="131"/>
      <c r="I236" s="131"/>
      <c r="J236" s="131"/>
      <c r="K236" s="131"/>
      <c r="L236" s="131"/>
      <c r="M236" s="131"/>
      <c r="N236" s="131"/>
      <c r="O236" s="131"/>
      <c r="P236" s="131"/>
      <c r="Q236" s="131"/>
      <c r="R236" s="131"/>
      <c r="S236" s="131"/>
      <c r="T236" s="131"/>
      <c r="U236" s="132"/>
      <c r="W236" s="35" t="str">
        <f>"-- "&amp;C236</f>
        <v>-- 成分量マスタ取込用テーブルのレコードをバックアップ_成分量マスタ取込用テーブルに格納する。</v>
      </c>
    </row>
    <row r="238" spans="2:23" ht="18.75" customHeight="1">
      <c r="C238" s="119" t="s">
        <v>3518</v>
      </c>
      <c r="D238" s="120"/>
      <c r="E238" s="125" t="s">
        <v>162</v>
      </c>
      <c r="F238" s="36"/>
      <c r="G238" s="36"/>
      <c r="H238" s="36"/>
      <c r="I238" s="36"/>
      <c r="J238" s="36"/>
      <c r="K238" s="36"/>
      <c r="L238" s="36"/>
      <c r="M238" s="36"/>
      <c r="N238" s="36"/>
      <c r="O238" s="36"/>
      <c r="P238" s="36"/>
      <c r="Q238" s="36"/>
      <c r="R238" s="119" t="str">
        <f>"バックアップ_"&amp;SUBSTITUTE(C238,"_結合","")</f>
        <v>バックアップ_成分量マスタ取込用</v>
      </c>
      <c r="S238" s="120"/>
      <c r="T238" s="123" t="str">
        <f>エンティティ一覧!$O$2</f>
        <v>milscm_2023_009</v>
      </c>
    </row>
    <row r="239" spans="2:23" ht="18.75" customHeight="1">
      <c r="C239" s="121"/>
      <c r="D239" s="122"/>
      <c r="E239" s="126"/>
      <c r="F239" s="37"/>
      <c r="G239" s="37"/>
      <c r="H239" s="37"/>
      <c r="I239" s="37"/>
      <c r="J239" s="37"/>
      <c r="K239" s="37"/>
      <c r="L239" s="37"/>
      <c r="M239" s="37"/>
      <c r="N239" s="37"/>
      <c r="O239" s="37"/>
      <c r="P239" s="37"/>
      <c r="Q239" s="37"/>
      <c r="R239" s="121"/>
      <c r="S239" s="122"/>
      <c r="T239" s="124"/>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3519</v>
      </c>
      <c r="D243" s="88"/>
      <c r="W243" s="35" t="str">
        <f>"-- "&amp;B243&amp;" : "&amp;C243</f>
        <v>-- SQL_ID : 01_A3-09</v>
      </c>
    </row>
    <row r="244" spans="2:23" ht="18.75" customHeight="1">
      <c r="B244" s="43" t="s">
        <v>158</v>
      </c>
      <c r="C244" s="127" t="str">
        <f>R247&amp;"登録"</f>
        <v>バックアップ_成分名マスタ取込用登録</v>
      </c>
      <c r="D244" s="128"/>
      <c r="E244" s="128"/>
      <c r="F244" s="128"/>
      <c r="G244" s="128"/>
      <c r="H244" s="128"/>
      <c r="I244" s="128"/>
      <c r="J244" s="128"/>
      <c r="K244" s="128"/>
      <c r="L244" s="128"/>
      <c r="M244" s="128"/>
      <c r="N244" s="128"/>
      <c r="O244" s="128"/>
      <c r="P244" s="128"/>
      <c r="Q244" s="128"/>
      <c r="R244" s="128"/>
      <c r="S244" s="128"/>
      <c r="T244" s="128"/>
      <c r="U244" s="129"/>
      <c r="W244" s="35" t="str">
        <f>"-- "&amp;C244</f>
        <v>-- バックアップ_成分名マスタ取込用登録</v>
      </c>
    </row>
    <row r="245" spans="2:23" ht="18.75" customHeight="1">
      <c r="B245" s="43" t="s">
        <v>159</v>
      </c>
      <c r="C245" s="130" t="str">
        <f>C247&amp;"テーブルのレコードを"&amp;R247&amp;"テーブルに格納する。"</f>
        <v>成分名マスタ取込用テーブルのレコードをバックアップ_成分名マスタ取込用テーブルに格納する。</v>
      </c>
      <c r="D245" s="131"/>
      <c r="E245" s="131"/>
      <c r="F245" s="131"/>
      <c r="G245" s="131"/>
      <c r="H245" s="131"/>
      <c r="I245" s="131"/>
      <c r="J245" s="131"/>
      <c r="K245" s="131"/>
      <c r="L245" s="131"/>
      <c r="M245" s="131"/>
      <c r="N245" s="131"/>
      <c r="O245" s="131"/>
      <c r="P245" s="131"/>
      <c r="Q245" s="131"/>
      <c r="R245" s="131"/>
      <c r="S245" s="131"/>
      <c r="T245" s="131"/>
      <c r="U245" s="132"/>
      <c r="W245" s="35" t="str">
        <f>"-- "&amp;C245</f>
        <v>-- 成分名マスタ取込用テーブルのレコードをバックアップ_成分名マスタ取込用テーブルに格納する。</v>
      </c>
    </row>
    <row r="247" spans="2:23" ht="18.75" customHeight="1">
      <c r="C247" s="119" t="s">
        <v>3520</v>
      </c>
      <c r="D247" s="120"/>
      <c r="E247" s="125" t="s">
        <v>162</v>
      </c>
      <c r="F247" s="36"/>
      <c r="G247" s="36"/>
      <c r="H247" s="36"/>
      <c r="I247" s="36"/>
      <c r="J247" s="36"/>
      <c r="K247" s="36"/>
      <c r="L247" s="36"/>
      <c r="M247" s="36"/>
      <c r="N247" s="36"/>
      <c r="O247" s="36"/>
      <c r="P247" s="36"/>
      <c r="Q247" s="36"/>
      <c r="R247" s="119" t="str">
        <f>"バックアップ_"&amp;SUBSTITUTE(C247,"_結合","")</f>
        <v>バックアップ_成分名マスタ取込用</v>
      </c>
      <c r="S247" s="120"/>
      <c r="T247" s="123" t="str">
        <f>エンティティ一覧!$O$2</f>
        <v>milscm_2023_009</v>
      </c>
    </row>
    <row r="248" spans="2:23" ht="18.75" customHeight="1">
      <c r="C248" s="121"/>
      <c r="D248" s="122"/>
      <c r="E248" s="126"/>
      <c r="F248" s="37"/>
      <c r="G248" s="37"/>
      <c r="H248" s="37"/>
      <c r="I248" s="37"/>
      <c r="J248" s="37"/>
      <c r="K248" s="37"/>
      <c r="L248" s="37"/>
      <c r="M248" s="37"/>
      <c r="N248" s="37"/>
      <c r="O248" s="37"/>
      <c r="P248" s="37"/>
      <c r="Q248" s="37"/>
      <c r="R248" s="121"/>
      <c r="S248" s="122"/>
      <c r="T248" s="124"/>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3521</v>
      </c>
      <c r="D252" s="88"/>
      <c r="W252" s="35" t="str">
        <f>"-- "&amp;B252&amp;" : "&amp;C252</f>
        <v>-- SQL_ID : 01_A3-10</v>
      </c>
    </row>
    <row r="253" spans="2:23" ht="18.75" customHeight="1">
      <c r="B253" s="43" t="s">
        <v>158</v>
      </c>
      <c r="C253" s="127" t="str">
        <f>R256&amp;"登録"</f>
        <v>バックアップ_単位マスタ取込用登録</v>
      </c>
      <c r="D253" s="128"/>
      <c r="E253" s="128"/>
      <c r="F253" s="128"/>
      <c r="G253" s="128"/>
      <c r="H253" s="128"/>
      <c r="I253" s="128"/>
      <c r="J253" s="128"/>
      <c r="K253" s="128"/>
      <c r="L253" s="128"/>
      <c r="M253" s="128"/>
      <c r="N253" s="128"/>
      <c r="O253" s="128"/>
      <c r="P253" s="128"/>
      <c r="Q253" s="128"/>
      <c r="R253" s="128"/>
      <c r="S253" s="128"/>
      <c r="T253" s="128"/>
      <c r="U253" s="129"/>
      <c r="W253" s="35" t="str">
        <f>"-- "&amp;C253</f>
        <v>-- バックアップ_単位マスタ取込用登録</v>
      </c>
    </row>
    <row r="254" spans="2:23" ht="18.75" customHeight="1">
      <c r="B254" s="43" t="s">
        <v>159</v>
      </c>
      <c r="C254" s="130" t="str">
        <f>C256&amp;"テーブルのレコードを"&amp;R256&amp;"テーブルに格納する。"</f>
        <v>単位マスタ取込用テーブルのレコードをバックアップ_単位マスタ取込用テーブルに格納する。</v>
      </c>
      <c r="D254" s="131"/>
      <c r="E254" s="131"/>
      <c r="F254" s="131"/>
      <c r="G254" s="131"/>
      <c r="H254" s="131"/>
      <c r="I254" s="131"/>
      <c r="J254" s="131"/>
      <c r="K254" s="131"/>
      <c r="L254" s="131"/>
      <c r="M254" s="131"/>
      <c r="N254" s="131"/>
      <c r="O254" s="131"/>
      <c r="P254" s="131"/>
      <c r="Q254" s="131"/>
      <c r="R254" s="131"/>
      <c r="S254" s="131"/>
      <c r="T254" s="131"/>
      <c r="U254" s="132"/>
      <c r="W254" s="35" t="str">
        <f>"-- "&amp;C254</f>
        <v>-- 単位マスタ取込用テーブルのレコードをバックアップ_単位マスタ取込用テーブルに格納する。</v>
      </c>
    </row>
    <row r="256" spans="2:23" ht="18.75" customHeight="1">
      <c r="C256" s="119" t="s">
        <v>3522</v>
      </c>
      <c r="D256" s="120"/>
      <c r="E256" s="125" t="s">
        <v>162</v>
      </c>
      <c r="F256" s="36"/>
      <c r="G256" s="36"/>
      <c r="H256" s="36"/>
      <c r="I256" s="36"/>
      <c r="J256" s="36"/>
      <c r="K256" s="36"/>
      <c r="L256" s="36"/>
      <c r="M256" s="36"/>
      <c r="N256" s="36"/>
      <c r="O256" s="36"/>
      <c r="P256" s="36"/>
      <c r="Q256" s="36"/>
      <c r="R256" s="119" t="str">
        <f>"バックアップ_"&amp;SUBSTITUTE(C256,"_結合","")</f>
        <v>バックアップ_単位マスタ取込用</v>
      </c>
      <c r="S256" s="120"/>
      <c r="T256" s="123" t="str">
        <f>エンティティ一覧!$O$2</f>
        <v>milscm_2023_009</v>
      </c>
    </row>
    <row r="257" spans="2:23" ht="18.75" customHeight="1">
      <c r="C257" s="121"/>
      <c r="D257" s="122"/>
      <c r="E257" s="126"/>
      <c r="F257" s="37"/>
      <c r="G257" s="37"/>
      <c r="H257" s="37"/>
      <c r="I257" s="37"/>
      <c r="J257" s="37"/>
      <c r="K257" s="37"/>
      <c r="L257" s="37"/>
      <c r="M257" s="37"/>
      <c r="N257" s="37"/>
      <c r="O257" s="37"/>
      <c r="P257" s="37"/>
      <c r="Q257" s="37"/>
      <c r="R257" s="121"/>
      <c r="S257" s="122"/>
      <c r="T257" s="124"/>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3523</v>
      </c>
      <c r="D261" s="88"/>
      <c r="W261" s="35" t="str">
        <f>"-- "&amp;B261&amp;" : "&amp;C261</f>
        <v>-- SQL_ID : 01_A3-11</v>
      </c>
    </row>
    <row r="262" spans="2:23" ht="18.75" customHeight="1">
      <c r="B262" s="43" t="s">
        <v>158</v>
      </c>
      <c r="C262" s="127" t="str">
        <f>R265&amp;"登録"</f>
        <v>バックアップ_適応病名レセ病名組み合わせ関係リンクマスタ取込用登録</v>
      </c>
      <c r="D262" s="128"/>
      <c r="E262" s="128"/>
      <c r="F262" s="128"/>
      <c r="G262" s="128"/>
      <c r="H262" s="128"/>
      <c r="I262" s="128"/>
      <c r="J262" s="128"/>
      <c r="K262" s="128"/>
      <c r="L262" s="128"/>
      <c r="M262" s="128"/>
      <c r="N262" s="128"/>
      <c r="O262" s="128"/>
      <c r="P262" s="128"/>
      <c r="Q262" s="128"/>
      <c r="R262" s="128"/>
      <c r="S262" s="128"/>
      <c r="T262" s="128"/>
      <c r="U262" s="129"/>
      <c r="W262" s="35" t="str">
        <f>"-- "&amp;C262</f>
        <v>-- バックアップ_適応病名レセ病名組み合わせ関係リンクマスタ取込用登録</v>
      </c>
    </row>
    <row r="263" spans="2:23" ht="18.75" customHeight="1">
      <c r="B263" s="43" t="s">
        <v>159</v>
      </c>
      <c r="C263" s="130"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31"/>
      <c r="E263" s="131"/>
      <c r="F263" s="131"/>
      <c r="G263" s="131"/>
      <c r="H263" s="131"/>
      <c r="I263" s="131"/>
      <c r="J263" s="131"/>
      <c r="K263" s="131"/>
      <c r="L263" s="131"/>
      <c r="M263" s="131"/>
      <c r="N263" s="131"/>
      <c r="O263" s="131"/>
      <c r="P263" s="131"/>
      <c r="Q263" s="131"/>
      <c r="R263" s="131"/>
      <c r="S263" s="131"/>
      <c r="T263" s="131"/>
      <c r="U263" s="132"/>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19" t="s">
        <v>3524</v>
      </c>
      <c r="D265" s="120"/>
      <c r="E265" s="125" t="s">
        <v>162</v>
      </c>
      <c r="F265" s="36"/>
      <c r="G265" s="36"/>
      <c r="H265" s="36"/>
      <c r="I265" s="36"/>
      <c r="J265" s="36"/>
      <c r="K265" s="36"/>
      <c r="L265" s="36"/>
      <c r="M265" s="36"/>
      <c r="N265" s="36"/>
      <c r="O265" s="36"/>
      <c r="P265" s="36"/>
      <c r="Q265" s="36"/>
      <c r="R265" s="141" t="str">
        <f>"バックアップ_"&amp;SUBSTITUTE(C265,"_結合","")</f>
        <v>バックアップ_適応病名レセ病名組み合わせ関係リンクマスタ取込用</v>
      </c>
      <c r="S265" s="142"/>
      <c r="T265" s="123" t="str">
        <f>エンティティ一覧!$O$2</f>
        <v>milscm_2023_009</v>
      </c>
    </row>
    <row r="266" spans="2:23" ht="18.75" customHeight="1">
      <c r="C266" s="121"/>
      <c r="D266" s="122"/>
      <c r="E266" s="126"/>
      <c r="F266" s="37"/>
      <c r="G266" s="37"/>
      <c r="H266" s="37"/>
      <c r="I266" s="37"/>
      <c r="J266" s="37"/>
      <c r="K266" s="37"/>
      <c r="L266" s="37"/>
      <c r="M266" s="37"/>
      <c r="N266" s="37"/>
      <c r="O266" s="37"/>
      <c r="P266" s="37"/>
      <c r="Q266" s="37"/>
      <c r="R266" s="143"/>
      <c r="S266" s="144"/>
      <c r="T266" s="124"/>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3525</v>
      </c>
      <c r="D270" s="88"/>
      <c r="W270" s="35" t="str">
        <f>"-- "&amp;B270&amp;" : "&amp;C270</f>
        <v>-- SQL_ID : 01_A3-12</v>
      </c>
    </row>
    <row r="271" spans="2:23" ht="18.75" customHeight="1">
      <c r="B271" s="43" t="s">
        <v>158</v>
      </c>
      <c r="C271" s="127" t="str">
        <f>R274&amp;"登録"</f>
        <v>バックアップ_適応病名レセ病名組み合わせ関係リンク親子マスタ取込用登録</v>
      </c>
      <c r="D271" s="128"/>
      <c r="E271" s="128"/>
      <c r="F271" s="128"/>
      <c r="G271" s="128"/>
      <c r="H271" s="128"/>
      <c r="I271" s="128"/>
      <c r="J271" s="128"/>
      <c r="K271" s="128"/>
      <c r="L271" s="128"/>
      <c r="M271" s="128"/>
      <c r="N271" s="128"/>
      <c r="O271" s="128"/>
      <c r="P271" s="128"/>
      <c r="Q271" s="128"/>
      <c r="R271" s="128"/>
      <c r="S271" s="128"/>
      <c r="T271" s="128"/>
      <c r="U271" s="129"/>
      <c r="W271" s="35" t="str">
        <f>"-- "&amp;C271</f>
        <v>-- バックアップ_適応病名レセ病名組み合わせ関係リンク親子マスタ取込用登録</v>
      </c>
    </row>
    <row r="272" spans="2:23" ht="18.75" customHeight="1">
      <c r="B272" s="43" t="s">
        <v>159</v>
      </c>
      <c r="C272" s="130"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31"/>
      <c r="E272" s="131"/>
      <c r="F272" s="131"/>
      <c r="G272" s="131"/>
      <c r="H272" s="131"/>
      <c r="I272" s="131"/>
      <c r="J272" s="131"/>
      <c r="K272" s="131"/>
      <c r="L272" s="131"/>
      <c r="M272" s="131"/>
      <c r="N272" s="131"/>
      <c r="O272" s="131"/>
      <c r="P272" s="131"/>
      <c r="Q272" s="131"/>
      <c r="R272" s="131"/>
      <c r="S272" s="131"/>
      <c r="T272" s="131"/>
      <c r="U272" s="132"/>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33" t="s">
        <v>3526</v>
      </c>
      <c r="D274" s="134"/>
      <c r="E274" s="125" t="s">
        <v>162</v>
      </c>
      <c r="F274" s="36"/>
      <c r="G274" s="36"/>
      <c r="H274" s="36"/>
      <c r="I274" s="36"/>
      <c r="J274" s="36"/>
      <c r="K274" s="36"/>
      <c r="L274" s="36"/>
      <c r="M274" s="36"/>
      <c r="N274" s="36"/>
      <c r="O274" s="36"/>
      <c r="P274" s="36"/>
      <c r="Q274" s="36"/>
      <c r="R274" s="141" t="str">
        <f>"バックアップ_"&amp;SUBSTITUTE(C274,"_結合","")</f>
        <v>バックアップ_適応病名レセ病名組み合わせ関係リンク親子マスタ取込用</v>
      </c>
      <c r="S274" s="142"/>
      <c r="T274" s="123" t="str">
        <f>エンティティ一覧!$O$2</f>
        <v>milscm_2023_009</v>
      </c>
    </row>
    <row r="275" spans="2:23" ht="18.75" customHeight="1">
      <c r="C275" s="135"/>
      <c r="D275" s="136"/>
      <c r="E275" s="126"/>
      <c r="F275" s="37"/>
      <c r="G275" s="37"/>
      <c r="H275" s="37"/>
      <c r="I275" s="37"/>
      <c r="J275" s="37"/>
      <c r="K275" s="37"/>
      <c r="L275" s="37"/>
      <c r="M275" s="37"/>
      <c r="N275" s="37"/>
      <c r="O275" s="37"/>
      <c r="P275" s="37"/>
      <c r="Q275" s="37"/>
      <c r="R275" s="143"/>
      <c r="S275" s="144"/>
      <c r="T275" s="124"/>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3527</v>
      </c>
      <c r="D279" s="88"/>
      <c r="W279" s="35" t="str">
        <f>"-- "&amp;B279&amp;" : "&amp;C279</f>
        <v>-- SQL_ID : 01_A3-13</v>
      </c>
    </row>
    <row r="280" spans="2:23" ht="18.75" customHeight="1">
      <c r="B280" s="43" t="s">
        <v>158</v>
      </c>
      <c r="C280" s="127" t="str">
        <f>R283&amp;"登録"</f>
        <v>バックアップ_適用病名マスタ取込用登録</v>
      </c>
      <c r="D280" s="128"/>
      <c r="E280" s="128"/>
      <c r="F280" s="128"/>
      <c r="G280" s="128"/>
      <c r="H280" s="128"/>
      <c r="I280" s="128"/>
      <c r="J280" s="128"/>
      <c r="K280" s="128"/>
      <c r="L280" s="128"/>
      <c r="M280" s="128"/>
      <c r="N280" s="128"/>
      <c r="O280" s="128"/>
      <c r="P280" s="128"/>
      <c r="Q280" s="128"/>
      <c r="R280" s="128"/>
      <c r="S280" s="128"/>
      <c r="T280" s="128"/>
      <c r="U280" s="129"/>
      <c r="W280" s="35" t="str">
        <f>"-- "&amp;C280</f>
        <v>-- バックアップ_適用病名マスタ取込用登録</v>
      </c>
    </row>
    <row r="281" spans="2:23" ht="18.75" customHeight="1">
      <c r="B281" s="43" t="s">
        <v>159</v>
      </c>
      <c r="C281" s="130" t="str">
        <f>C283&amp;"テーブルのレコードを"&amp;R283&amp;"テーブルに格納する。"</f>
        <v>適用病名マスタ取込用テーブルのレコードをバックアップ_適用病名マスタ取込用テーブルに格納する。</v>
      </c>
      <c r="D281" s="131"/>
      <c r="E281" s="131"/>
      <c r="F281" s="131"/>
      <c r="G281" s="131"/>
      <c r="H281" s="131"/>
      <c r="I281" s="131"/>
      <c r="J281" s="131"/>
      <c r="K281" s="131"/>
      <c r="L281" s="131"/>
      <c r="M281" s="131"/>
      <c r="N281" s="131"/>
      <c r="O281" s="131"/>
      <c r="P281" s="131"/>
      <c r="Q281" s="131"/>
      <c r="R281" s="131"/>
      <c r="S281" s="131"/>
      <c r="T281" s="131"/>
      <c r="U281" s="132"/>
      <c r="W281" s="35" t="str">
        <f>"-- "&amp;C281</f>
        <v>-- 適用病名マスタ取込用テーブルのレコードをバックアップ_適用病名マスタ取込用テーブルに格納する。</v>
      </c>
    </row>
    <row r="283" spans="2:23" ht="18.75" customHeight="1">
      <c r="C283" s="119" t="s">
        <v>3528</v>
      </c>
      <c r="D283" s="120"/>
      <c r="E283" s="125" t="s">
        <v>162</v>
      </c>
      <c r="F283" s="36"/>
      <c r="G283" s="36"/>
      <c r="H283" s="36"/>
      <c r="I283" s="36"/>
      <c r="J283" s="36"/>
      <c r="K283" s="36"/>
      <c r="L283" s="36"/>
      <c r="M283" s="36"/>
      <c r="N283" s="36"/>
      <c r="O283" s="36"/>
      <c r="P283" s="36"/>
      <c r="Q283" s="36"/>
      <c r="R283" s="119" t="str">
        <f>"バックアップ_"&amp;SUBSTITUTE(C283,"_結合","")</f>
        <v>バックアップ_適用病名マスタ取込用</v>
      </c>
      <c r="S283" s="120"/>
      <c r="T283" s="123" t="str">
        <f>エンティティ一覧!$O$2</f>
        <v>milscm_2023_009</v>
      </c>
    </row>
    <row r="284" spans="2:23" ht="18.75" customHeight="1">
      <c r="C284" s="121"/>
      <c r="D284" s="122"/>
      <c r="E284" s="126"/>
      <c r="F284" s="37"/>
      <c r="G284" s="37"/>
      <c r="H284" s="37"/>
      <c r="I284" s="37"/>
      <c r="J284" s="37"/>
      <c r="K284" s="37"/>
      <c r="L284" s="37"/>
      <c r="M284" s="37"/>
      <c r="N284" s="37"/>
      <c r="O284" s="37"/>
      <c r="P284" s="37"/>
      <c r="Q284" s="37"/>
      <c r="R284" s="121"/>
      <c r="S284" s="122"/>
      <c r="T284" s="124"/>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3529</v>
      </c>
      <c r="D288" s="88"/>
      <c r="W288" s="35" t="str">
        <f>"-- "&amp;B288&amp;" : "&amp;C288</f>
        <v>-- SQL_ID : 01_A3-14</v>
      </c>
    </row>
    <row r="289" spans="2:23" ht="18.75" customHeight="1">
      <c r="B289" s="43" t="s">
        <v>158</v>
      </c>
      <c r="C289" s="127" t="str">
        <f>R292&amp;"登録"</f>
        <v>バックアップ_ＹＪコード医薬品コードリンクマスタ取込用登録</v>
      </c>
      <c r="D289" s="128"/>
      <c r="E289" s="128"/>
      <c r="F289" s="128"/>
      <c r="G289" s="128"/>
      <c r="H289" s="128"/>
      <c r="I289" s="128"/>
      <c r="J289" s="128"/>
      <c r="K289" s="128"/>
      <c r="L289" s="128"/>
      <c r="M289" s="128"/>
      <c r="N289" s="128"/>
      <c r="O289" s="128"/>
      <c r="P289" s="128"/>
      <c r="Q289" s="128"/>
      <c r="R289" s="128"/>
      <c r="S289" s="128"/>
      <c r="T289" s="128"/>
      <c r="U289" s="129"/>
      <c r="W289" s="35" t="str">
        <f>"-- "&amp;C289</f>
        <v>-- バックアップ_ＹＪコード医薬品コードリンクマスタ取込用登録</v>
      </c>
    </row>
    <row r="290" spans="2:23" ht="18.75" customHeight="1">
      <c r="B290" s="43" t="s">
        <v>159</v>
      </c>
      <c r="C290" s="130"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31"/>
      <c r="E290" s="131"/>
      <c r="F290" s="131"/>
      <c r="G290" s="131"/>
      <c r="H290" s="131"/>
      <c r="I290" s="131"/>
      <c r="J290" s="131"/>
      <c r="K290" s="131"/>
      <c r="L290" s="131"/>
      <c r="M290" s="131"/>
      <c r="N290" s="131"/>
      <c r="O290" s="131"/>
      <c r="P290" s="131"/>
      <c r="Q290" s="131"/>
      <c r="R290" s="131"/>
      <c r="S290" s="131"/>
      <c r="T290" s="131"/>
      <c r="U290" s="132"/>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19" t="s">
        <v>3530</v>
      </c>
      <c r="D292" s="120"/>
      <c r="E292" s="125" t="s">
        <v>162</v>
      </c>
      <c r="F292" s="36"/>
      <c r="G292" s="36"/>
      <c r="H292" s="36"/>
      <c r="I292" s="36"/>
      <c r="J292" s="36"/>
      <c r="K292" s="36"/>
      <c r="L292" s="36"/>
      <c r="M292" s="36"/>
      <c r="N292" s="36"/>
      <c r="O292" s="36"/>
      <c r="P292" s="36"/>
      <c r="Q292" s="36"/>
      <c r="R292" s="133" t="str">
        <f>"バックアップ_"&amp;SUBSTITUTE(C292,"_結合","")</f>
        <v>バックアップ_ＹＪコード医薬品コードリンクマスタ取込用</v>
      </c>
      <c r="S292" s="134"/>
      <c r="T292" s="123" t="str">
        <f>エンティティ一覧!$O$2</f>
        <v>milscm_2023_009</v>
      </c>
    </row>
    <row r="293" spans="2:23" ht="18.75" customHeight="1">
      <c r="C293" s="121"/>
      <c r="D293" s="122"/>
      <c r="E293" s="126"/>
      <c r="F293" s="37"/>
      <c r="G293" s="37"/>
      <c r="H293" s="37"/>
      <c r="I293" s="37"/>
      <c r="J293" s="37"/>
      <c r="K293" s="37"/>
      <c r="L293" s="37"/>
      <c r="M293" s="37"/>
      <c r="N293" s="37"/>
      <c r="O293" s="37"/>
      <c r="P293" s="37"/>
      <c r="Q293" s="37"/>
      <c r="R293" s="135"/>
      <c r="S293" s="136"/>
      <c r="T293" s="124"/>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3531</v>
      </c>
      <c r="D297" s="88"/>
      <c r="W297" s="35" t="str">
        <f>"-- "&amp;B297&amp;" : "&amp;C297</f>
        <v>-- SQL_ID : 01_A3-15</v>
      </c>
    </row>
    <row r="298" spans="2:23" ht="18.75" customHeight="1">
      <c r="B298" s="43" t="s">
        <v>158</v>
      </c>
      <c r="C298" s="127" t="str">
        <f>R301&amp;"登録"</f>
        <v>バックアップ_診療行為付加情報マスタ取込用登録</v>
      </c>
      <c r="D298" s="128"/>
      <c r="E298" s="128"/>
      <c r="F298" s="128"/>
      <c r="G298" s="128"/>
      <c r="H298" s="128"/>
      <c r="I298" s="128"/>
      <c r="J298" s="128"/>
      <c r="K298" s="128"/>
      <c r="L298" s="128"/>
      <c r="M298" s="128"/>
      <c r="N298" s="128"/>
      <c r="O298" s="128"/>
      <c r="P298" s="128"/>
      <c r="Q298" s="128"/>
      <c r="R298" s="128"/>
      <c r="S298" s="128"/>
      <c r="T298" s="128"/>
      <c r="U298" s="129"/>
      <c r="W298" s="35" t="str">
        <f>"-- "&amp;C298</f>
        <v>-- バックアップ_診療行為付加情報マスタ取込用登録</v>
      </c>
    </row>
    <row r="299" spans="2:23" ht="18.75" customHeight="1">
      <c r="B299" s="43" t="s">
        <v>159</v>
      </c>
      <c r="C299" s="130" t="str">
        <f>C301&amp;"テーブルのレコードを"&amp;R301&amp;"テーブルに格納する。"</f>
        <v>診療行為付加情報マスタ取込用テーブルのレコードをバックアップ_診療行為付加情報マスタ取込用テーブルに格納する。</v>
      </c>
      <c r="D299" s="131"/>
      <c r="E299" s="131"/>
      <c r="F299" s="131"/>
      <c r="G299" s="131"/>
      <c r="H299" s="131"/>
      <c r="I299" s="131"/>
      <c r="J299" s="131"/>
      <c r="K299" s="131"/>
      <c r="L299" s="131"/>
      <c r="M299" s="131"/>
      <c r="N299" s="131"/>
      <c r="O299" s="131"/>
      <c r="P299" s="131"/>
      <c r="Q299" s="131"/>
      <c r="R299" s="131"/>
      <c r="S299" s="131"/>
      <c r="T299" s="131"/>
      <c r="U299" s="132"/>
      <c r="W299" s="35" t="str">
        <f>"-- "&amp;C299</f>
        <v>-- 診療行為付加情報マスタ取込用テーブルのレコードをバックアップ_診療行為付加情報マスタ取込用テーブルに格納する。</v>
      </c>
    </row>
    <row r="301" spans="2:23" ht="18.75" customHeight="1">
      <c r="C301" s="119" t="s">
        <v>3532</v>
      </c>
      <c r="D301" s="120"/>
      <c r="E301" s="125" t="s">
        <v>162</v>
      </c>
      <c r="F301" s="36"/>
      <c r="G301" s="36"/>
      <c r="H301" s="36"/>
      <c r="I301" s="36"/>
      <c r="J301" s="36"/>
      <c r="K301" s="36"/>
      <c r="L301" s="36"/>
      <c r="M301" s="36"/>
      <c r="N301" s="36"/>
      <c r="O301" s="36"/>
      <c r="P301" s="36"/>
      <c r="Q301" s="36"/>
      <c r="R301" s="119" t="str">
        <f>"バックアップ_"&amp;SUBSTITUTE(C301,"_結合","")</f>
        <v>バックアップ_診療行為付加情報マスタ取込用</v>
      </c>
      <c r="S301" s="120"/>
      <c r="T301" s="123" t="str">
        <f>エンティティ一覧!$O$2</f>
        <v>milscm_2023_009</v>
      </c>
    </row>
    <row r="302" spans="2:23" ht="18.75" customHeight="1">
      <c r="C302" s="121"/>
      <c r="D302" s="122"/>
      <c r="E302" s="126"/>
      <c r="F302" s="37"/>
      <c r="G302" s="37"/>
      <c r="H302" s="37"/>
      <c r="I302" s="37"/>
      <c r="J302" s="37"/>
      <c r="K302" s="37"/>
      <c r="L302" s="37"/>
      <c r="M302" s="37"/>
      <c r="N302" s="37"/>
      <c r="O302" s="37"/>
      <c r="P302" s="37"/>
      <c r="Q302" s="37"/>
      <c r="R302" s="121"/>
      <c r="S302" s="122"/>
      <c r="T302" s="124"/>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3533</v>
      </c>
      <c r="D306" s="88"/>
      <c r="W306" s="35" t="str">
        <f>"-- "&amp;B306&amp;" : "&amp;C306</f>
        <v>-- SQL_ID : 01_A3-16</v>
      </c>
    </row>
    <row r="307" spans="2:23" ht="18.75" customHeight="1">
      <c r="B307" s="43" t="s">
        <v>158</v>
      </c>
      <c r="C307" s="127" t="str">
        <f>R310&amp;"登録"</f>
        <v>バックアップ_処理対象施設マスタ登録</v>
      </c>
      <c r="D307" s="128"/>
      <c r="E307" s="128"/>
      <c r="F307" s="128"/>
      <c r="G307" s="128"/>
      <c r="H307" s="128"/>
      <c r="I307" s="128"/>
      <c r="J307" s="128"/>
      <c r="K307" s="128"/>
      <c r="L307" s="128"/>
      <c r="M307" s="128"/>
      <c r="N307" s="128"/>
      <c r="O307" s="128"/>
      <c r="P307" s="128"/>
      <c r="Q307" s="128"/>
      <c r="R307" s="128"/>
      <c r="S307" s="128"/>
      <c r="T307" s="128"/>
      <c r="U307" s="129"/>
      <c r="W307" s="35" t="str">
        <f>"-- "&amp;C307</f>
        <v>-- バックアップ_処理対象施設マスタ登録</v>
      </c>
    </row>
    <row r="308" spans="2:23" ht="18.75" customHeight="1">
      <c r="B308" s="43" t="s">
        <v>159</v>
      </c>
      <c r="C308" s="130" t="str">
        <f>C310&amp;"テーブルのレコードを"&amp;R310&amp;"テーブルに格納する。"</f>
        <v>処理対象施設マスタテーブルのレコードをバックアップ_処理対象施設マスタテーブルに格納する。</v>
      </c>
      <c r="D308" s="131"/>
      <c r="E308" s="131"/>
      <c r="F308" s="131"/>
      <c r="G308" s="131"/>
      <c r="H308" s="131"/>
      <c r="I308" s="131"/>
      <c r="J308" s="131"/>
      <c r="K308" s="131"/>
      <c r="L308" s="131"/>
      <c r="M308" s="131"/>
      <c r="N308" s="131"/>
      <c r="O308" s="131"/>
      <c r="P308" s="131"/>
      <c r="Q308" s="131"/>
      <c r="R308" s="131"/>
      <c r="S308" s="131"/>
      <c r="T308" s="131"/>
      <c r="U308" s="132"/>
      <c r="W308" s="35" t="str">
        <f>"-- "&amp;C308</f>
        <v>-- 処理対象施設マスタテーブルのレコードをバックアップ_処理対象施設マスタテーブルに格納する。</v>
      </c>
    </row>
    <row r="310" spans="2:23" ht="18.75" customHeight="1">
      <c r="C310" s="119" t="s">
        <v>3534</v>
      </c>
      <c r="D310" s="120"/>
      <c r="E310" s="125" t="s">
        <v>162</v>
      </c>
      <c r="F310" s="36"/>
      <c r="G310" s="36"/>
      <c r="H310" s="36"/>
      <c r="I310" s="36"/>
      <c r="J310" s="36"/>
      <c r="K310" s="36"/>
      <c r="L310" s="36"/>
      <c r="M310" s="36"/>
      <c r="N310" s="36"/>
      <c r="O310" s="36"/>
      <c r="P310" s="36"/>
      <c r="Q310" s="36"/>
      <c r="R310" s="119" t="str">
        <f>"バックアップ_"&amp;SUBSTITUTE(C310,"_結合","")</f>
        <v>バックアップ_処理対象施設マスタ</v>
      </c>
      <c r="S310" s="120"/>
      <c r="T310" s="123" t="str">
        <f>エンティティ一覧!$O$2</f>
        <v>milscm_2023_009</v>
      </c>
    </row>
    <row r="311" spans="2:23" ht="18.75" customHeight="1">
      <c r="C311" s="121"/>
      <c r="D311" s="122"/>
      <c r="E311" s="126"/>
      <c r="F311" s="37"/>
      <c r="G311" s="37"/>
      <c r="H311" s="37"/>
      <c r="I311" s="37"/>
      <c r="J311" s="37"/>
      <c r="K311" s="37"/>
      <c r="L311" s="37"/>
      <c r="M311" s="37"/>
      <c r="N311" s="37"/>
      <c r="O311" s="37"/>
      <c r="P311" s="37"/>
      <c r="Q311" s="37"/>
      <c r="R311" s="121"/>
      <c r="S311" s="122"/>
      <c r="T311" s="124"/>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3535</v>
      </c>
      <c r="D315" s="88"/>
      <c r="W315" s="35" t="str">
        <f>"-- "&amp;B315&amp;" : "&amp;C315</f>
        <v>-- SQL_ID : 01_A3-17</v>
      </c>
    </row>
    <row r="316" spans="2:23" ht="18.75" customHeight="1">
      <c r="B316" s="43" t="s">
        <v>158</v>
      </c>
      <c r="C316" s="127" t="str">
        <f>R319&amp;"登録"</f>
        <v>バックアップ_処理対象施設マスタ管理登録</v>
      </c>
      <c r="D316" s="128"/>
      <c r="E316" s="128"/>
      <c r="F316" s="128"/>
      <c r="G316" s="128"/>
      <c r="H316" s="128"/>
      <c r="I316" s="128"/>
      <c r="J316" s="128"/>
      <c r="K316" s="128"/>
      <c r="L316" s="128"/>
      <c r="M316" s="128"/>
      <c r="N316" s="128"/>
      <c r="O316" s="128"/>
      <c r="P316" s="128"/>
      <c r="Q316" s="128"/>
      <c r="R316" s="128"/>
      <c r="S316" s="128"/>
      <c r="T316" s="128"/>
      <c r="U316" s="129"/>
      <c r="W316" s="35" t="str">
        <f>"-- "&amp;C316</f>
        <v>-- バックアップ_処理対象施設マスタ管理登録</v>
      </c>
    </row>
    <row r="317" spans="2:23" ht="18.75" customHeight="1">
      <c r="B317" s="43" t="s">
        <v>159</v>
      </c>
      <c r="C317" s="130" t="str">
        <f>C319&amp;"テーブルのレコードを"&amp;R319&amp;"テーブルに格納する。"</f>
        <v>処理対象施設マスタ管理テーブルのレコードをバックアップ_処理対象施設マスタ管理テーブルに格納する。</v>
      </c>
      <c r="D317" s="131"/>
      <c r="E317" s="131"/>
      <c r="F317" s="131"/>
      <c r="G317" s="131"/>
      <c r="H317" s="131"/>
      <c r="I317" s="131"/>
      <c r="J317" s="131"/>
      <c r="K317" s="131"/>
      <c r="L317" s="131"/>
      <c r="M317" s="131"/>
      <c r="N317" s="131"/>
      <c r="O317" s="131"/>
      <c r="P317" s="131"/>
      <c r="Q317" s="131"/>
      <c r="R317" s="131"/>
      <c r="S317" s="131"/>
      <c r="T317" s="131"/>
      <c r="U317" s="132"/>
      <c r="W317" s="35" t="str">
        <f>"-- "&amp;C317</f>
        <v>-- 処理対象施設マスタ管理テーブルのレコードをバックアップ_処理対象施設マスタ管理テーブルに格納する。</v>
      </c>
    </row>
    <row r="319" spans="2:23" ht="18.75" customHeight="1">
      <c r="C319" s="119" t="s">
        <v>3536</v>
      </c>
      <c r="D319" s="120"/>
      <c r="E319" s="125" t="s">
        <v>162</v>
      </c>
      <c r="F319" s="36"/>
      <c r="G319" s="36"/>
      <c r="H319" s="36"/>
      <c r="I319" s="36"/>
      <c r="J319" s="36"/>
      <c r="K319" s="36"/>
      <c r="L319" s="36"/>
      <c r="M319" s="36"/>
      <c r="N319" s="36"/>
      <c r="O319" s="36"/>
      <c r="P319" s="36"/>
      <c r="Q319" s="36"/>
      <c r="R319" s="119" t="str">
        <f>"バックアップ_"&amp;SUBSTITUTE(C319,"_結合","")</f>
        <v>バックアップ_処理対象施設マスタ管理</v>
      </c>
      <c r="S319" s="120"/>
      <c r="T319" s="123" t="str">
        <f>エンティティ一覧!$O$2</f>
        <v>milscm_2023_009</v>
      </c>
    </row>
    <row r="320" spans="2:23" ht="18.75" customHeight="1">
      <c r="C320" s="121"/>
      <c r="D320" s="122"/>
      <c r="E320" s="126"/>
      <c r="F320" s="37"/>
      <c r="G320" s="37"/>
      <c r="H320" s="37"/>
      <c r="I320" s="37"/>
      <c r="J320" s="37"/>
      <c r="K320" s="37"/>
      <c r="L320" s="37"/>
      <c r="M320" s="37"/>
      <c r="N320" s="37"/>
      <c r="O320" s="37"/>
      <c r="P320" s="37"/>
      <c r="Q320" s="37"/>
      <c r="R320" s="121"/>
      <c r="S320" s="122"/>
      <c r="T320" s="124"/>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3537</v>
      </c>
      <c r="D324" s="88"/>
      <c r="W324" s="35" t="str">
        <f>"-- "&amp;B324&amp;" : "&amp;C324</f>
        <v>-- SQL_ID : 01_A3-18</v>
      </c>
    </row>
    <row r="325" spans="2:23" ht="18.75" customHeight="1">
      <c r="B325" s="43" t="s">
        <v>158</v>
      </c>
      <c r="C325" s="127" t="str">
        <f>R328&amp;"登録"</f>
        <v>バックアップ_医薬品マスタ登録</v>
      </c>
      <c r="D325" s="128"/>
      <c r="E325" s="128"/>
      <c r="F325" s="128"/>
      <c r="G325" s="128"/>
      <c r="H325" s="128"/>
      <c r="I325" s="128"/>
      <c r="J325" s="128"/>
      <c r="K325" s="128"/>
      <c r="L325" s="128"/>
      <c r="M325" s="128"/>
      <c r="N325" s="128"/>
      <c r="O325" s="128"/>
      <c r="P325" s="128"/>
      <c r="Q325" s="128"/>
      <c r="R325" s="128"/>
      <c r="S325" s="128"/>
      <c r="T325" s="128"/>
      <c r="U325" s="129"/>
      <c r="W325" s="35" t="str">
        <f>"-- "&amp;C325</f>
        <v>-- バックアップ_医薬品マスタ登録</v>
      </c>
    </row>
    <row r="326" spans="2:23" ht="18.75" customHeight="1">
      <c r="B326" s="43" t="s">
        <v>159</v>
      </c>
      <c r="C326" s="130" t="str">
        <f>C328&amp;"テーブルのレコードを"&amp;R328&amp;"テーブルに格納する。"</f>
        <v>医薬品マスタテーブルのレコードをバックアップ_医薬品マスタテーブルに格納する。</v>
      </c>
      <c r="D326" s="131"/>
      <c r="E326" s="131"/>
      <c r="F326" s="131"/>
      <c r="G326" s="131"/>
      <c r="H326" s="131"/>
      <c r="I326" s="131"/>
      <c r="J326" s="131"/>
      <c r="K326" s="131"/>
      <c r="L326" s="131"/>
      <c r="M326" s="131"/>
      <c r="N326" s="131"/>
      <c r="O326" s="131"/>
      <c r="P326" s="131"/>
      <c r="Q326" s="131"/>
      <c r="R326" s="131"/>
      <c r="S326" s="131"/>
      <c r="T326" s="131"/>
      <c r="U326" s="132"/>
      <c r="W326" s="35" t="str">
        <f>"-- "&amp;C326</f>
        <v>-- 医薬品マスタテーブルのレコードをバックアップ_医薬品マスタテーブルに格納する。</v>
      </c>
    </row>
    <row r="328" spans="2:23" ht="18.75" customHeight="1">
      <c r="C328" s="119" t="s">
        <v>3538</v>
      </c>
      <c r="D328" s="120"/>
      <c r="E328" s="125" t="s">
        <v>162</v>
      </c>
      <c r="F328" s="36"/>
      <c r="G328" s="36"/>
      <c r="H328" s="36"/>
      <c r="I328" s="36"/>
      <c r="J328" s="36"/>
      <c r="K328" s="36"/>
      <c r="L328" s="36"/>
      <c r="M328" s="36"/>
      <c r="N328" s="36"/>
      <c r="O328" s="36"/>
      <c r="P328" s="36"/>
      <c r="Q328" s="36"/>
      <c r="R328" s="119" t="str">
        <f>"バックアップ_"&amp;SUBSTITUTE(C328,"_結合","")</f>
        <v>バックアップ_医薬品マスタ</v>
      </c>
      <c r="S328" s="120"/>
      <c r="T328" s="123" t="str">
        <f>エンティティ一覧!$O$2</f>
        <v>milscm_2023_009</v>
      </c>
    </row>
    <row r="329" spans="2:23" ht="18.75" customHeight="1">
      <c r="C329" s="121"/>
      <c r="D329" s="122"/>
      <c r="E329" s="126"/>
      <c r="F329" s="37"/>
      <c r="G329" s="37"/>
      <c r="H329" s="37"/>
      <c r="I329" s="37"/>
      <c r="J329" s="37"/>
      <c r="K329" s="37"/>
      <c r="L329" s="37"/>
      <c r="M329" s="37"/>
      <c r="N329" s="37"/>
      <c r="O329" s="37"/>
      <c r="P329" s="37"/>
      <c r="Q329" s="37"/>
      <c r="R329" s="121"/>
      <c r="S329" s="122"/>
      <c r="T329" s="124"/>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3539</v>
      </c>
      <c r="D333" s="88"/>
      <c r="W333" s="35" t="str">
        <f>"-- "&amp;B333&amp;" : "&amp;C333</f>
        <v>-- SQL_ID : 01_A3-19</v>
      </c>
    </row>
    <row r="334" spans="2:23" ht="18.75" customHeight="1">
      <c r="B334" s="43" t="s">
        <v>158</v>
      </c>
      <c r="C334" s="127" t="str">
        <f>R337&amp;"登録"</f>
        <v>バックアップ_医薬品ブランドマスタ登録</v>
      </c>
      <c r="D334" s="128"/>
      <c r="E334" s="128"/>
      <c r="F334" s="128"/>
      <c r="G334" s="128"/>
      <c r="H334" s="128"/>
      <c r="I334" s="128"/>
      <c r="J334" s="128"/>
      <c r="K334" s="128"/>
      <c r="L334" s="128"/>
      <c r="M334" s="128"/>
      <c r="N334" s="128"/>
      <c r="O334" s="128"/>
      <c r="P334" s="128"/>
      <c r="Q334" s="128"/>
      <c r="R334" s="128"/>
      <c r="S334" s="128"/>
      <c r="T334" s="128"/>
      <c r="U334" s="129"/>
      <c r="W334" s="35" t="str">
        <f>"-- "&amp;C334</f>
        <v>-- バックアップ_医薬品ブランドマスタ登録</v>
      </c>
    </row>
    <row r="335" spans="2:23" ht="18.75" customHeight="1">
      <c r="B335" s="43" t="s">
        <v>159</v>
      </c>
      <c r="C335" s="130" t="str">
        <f>C337&amp;"テーブルのレコードを"&amp;R337&amp;"テーブルに格納する。"</f>
        <v>医薬品ブランドマスタテーブルのレコードをバックアップ_医薬品ブランドマスタテーブルに格納する。</v>
      </c>
      <c r="D335" s="131"/>
      <c r="E335" s="131"/>
      <c r="F335" s="131"/>
      <c r="G335" s="131"/>
      <c r="H335" s="131"/>
      <c r="I335" s="131"/>
      <c r="J335" s="131"/>
      <c r="K335" s="131"/>
      <c r="L335" s="131"/>
      <c r="M335" s="131"/>
      <c r="N335" s="131"/>
      <c r="O335" s="131"/>
      <c r="P335" s="131"/>
      <c r="Q335" s="131"/>
      <c r="R335" s="131"/>
      <c r="S335" s="131"/>
      <c r="T335" s="131"/>
      <c r="U335" s="132"/>
      <c r="W335" s="35" t="str">
        <f>"-- "&amp;C335</f>
        <v>-- 医薬品ブランドマスタテーブルのレコードをバックアップ_医薬品ブランドマスタテーブルに格納する。</v>
      </c>
    </row>
    <row r="337" spans="2:23" ht="18.75" customHeight="1">
      <c r="C337" s="119" t="s">
        <v>3540</v>
      </c>
      <c r="D337" s="120"/>
      <c r="E337" s="125" t="s">
        <v>162</v>
      </c>
      <c r="F337" s="36"/>
      <c r="G337" s="36"/>
      <c r="H337" s="36"/>
      <c r="I337" s="36"/>
      <c r="J337" s="36"/>
      <c r="K337" s="36"/>
      <c r="L337" s="36"/>
      <c r="M337" s="36"/>
      <c r="N337" s="36"/>
      <c r="O337" s="36"/>
      <c r="P337" s="36"/>
      <c r="Q337" s="36"/>
      <c r="R337" s="119" t="str">
        <f>"バックアップ_"&amp;SUBSTITUTE(C337,"_結合","")</f>
        <v>バックアップ_医薬品ブランドマスタ</v>
      </c>
      <c r="S337" s="120"/>
      <c r="T337" s="123" t="str">
        <f>エンティティ一覧!$O$2</f>
        <v>milscm_2023_009</v>
      </c>
    </row>
    <row r="338" spans="2:23" ht="18.75" customHeight="1">
      <c r="C338" s="121"/>
      <c r="D338" s="122"/>
      <c r="E338" s="126"/>
      <c r="F338" s="37"/>
      <c r="G338" s="37"/>
      <c r="H338" s="37"/>
      <c r="I338" s="37"/>
      <c r="J338" s="37"/>
      <c r="K338" s="37"/>
      <c r="L338" s="37"/>
      <c r="M338" s="37"/>
      <c r="N338" s="37"/>
      <c r="O338" s="37"/>
      <c r="P338" s="37"/>
      <c r="Q338" s="37"/>
      <c r="R338" s="121"/>
      <c r="S338" s="122"/>
      <c r="T338" s="124"/>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3541</v>
      </c>
      <c r="D342" s="88"/>
      <c r="W342" s="35" t="str">
        <f>"-- "&amp;B342&amp;" : "&amp;C342</f>
        <v>-- SQL_ID : 01_A3-20</v>
      </c>
    </row>
    <row r="343" spans="2:23" ht="18.75" customHeight="1">
      <c r="B343" s="43" t="s">
        <v>158</v>
      </c>
      <c r="C343" s="127" t="str">
        <f>R346&amp;"登録"</f>
        <v>バックアップ_医薬品一般名マスタ登録</v>
      </c>
      <c r="D343" s="128"/>
      <c r="E343" s="128"/>
      <c r="F343" s="128"/>
      <c r="G343" s="128"/>
      <c r="H343" s="128"/>
      <c r="I343" s="128"/>
      <c r="J343" s="128"/>
      <c r="K343" s="128"/>
      <c r="L343" s="128"/>
      <c r="M343" s="128"/>
      <c r="N343" s="128"/>
      <c r="O343" s="128"/>
      <c r="P343" s="128"/>
      <c r="Q343" s="128"/>
      <c r="R343" s="128"/>
      <c r="S343" s="128"/>
      <c r="T343" s="128"/>
      <c r="U343" s="129"/>
      <c r="W343" s="35" t="str">
        <f>"-- "&amp;C343</f>
        <v>-- バックアップ_医薬品一般名マスタ登録</v>
      </c>
    </row>
    <row r="344" spans="2:23" ht="18.75" customHeight="1">
      <c r="B344" s="43" t="s">
        <v>159</v>
      </c>
      <c r="C344" s="130" t="str">
        <f>C346&amp;"テーブルのレコードを"&amp;R346&amp;"テーブルに格納する。"</f>
        <v>医薬品一般名マスタテーブルのレコードをバックアップ_医薬品一般名マスタテーブルに格納する。</v>
      </c>
      <c r="D344" s="131"/>
      <c r="E344" s="131"/>
      <c r="F344" s="131"/>
      <c r="G344" s="131"/>
      <c r="H344" s="131"/>
      <c r="I344" s="131"/>
      <c r="J344" s="131"/>
      <c r="K344" s="131"/>
      <c r="L344" s="131"/>
      <c r="M344" s="131"/>
      <c r="N344" s="131"/>
      <c r="O344" s="131"/>
      <c r="P344" s="131"/>
      <c r="Q344" s="131"/>
      <c r="R344" s="131"/>
      <c r="S344" s="131"/>
      <c r="T344" s="131"/>
      <c r="U344" s="132"/>
      <c r="W344" s="35" t="str">
        <f>"-- "&amp;C344</f>
        <v>-- 医薬品一般名マスタテーブルのレコードをバックアップ_医薬品一般名マスタテーブルに格納する。</v>
      </c>
    </row>
    <row r="346" spans="2:23" ht="18.75" customHeight="1">
      <c r="C346" s="119" t="s">
        <v>3542</v>
      </c>
      <c r="D346" s="120"/>
      <c r="E346" s="125" t="s">
        <v>162</v>
      </c>
      <c r="F346" s="36"/>
      <c r="G346" s="36"/>
      <c r="H346" s="36"/>
      <c r="I346" s="36"/>
      <c r="J346" s="36"/>
      <c r="K346" s="36"/>
      <c r="L346" s="36"/>
      <c r="M346" s="36"/>
      <c r="N346" s="36"/>
      <c r="O346" s="36"/>
      <c r="P346" s="36"/>
      <c r="Q346" s="36"/>
      <c r="R346" s="119" t="str">
        <f>"バックアップ_"&amp;SUBSTITUTE(C346,"_結合","")</f>
        <v>バックアップ_医薬品一般名マスタ</v>
      </c>
      <c r="S346" s="120"/>
      <c r="T346" s="123" t="str">
        <f>エンティティ一覧!$O$2</f>
        <v>milscm_2023_009</v>
      </c>
    </row>
    <row r="347" spans="2:23" ht="18.75" customHeight="1">
      <c r="C347" s="121"/>
      <c r="D347" s="122"/>
      <c r="E347" s="126"/>
      <c r="F347" s="37"/>
      <c r="G347" s="37"/>
      <c r="H347" s="37"/>
      <c r="I347" s="37"/>
      <c r="J347" s="37"/>
      <c r="K347" s="37"/>
      <c r="L347" s="37"/>
      <c r="M347" s="37"/>
      <c r="N347" s="37"/>
      <c r="O347" s="37"/>
      <c r="P347" s="37"/>
      <c r="Q347" s="37"/>
      <c r="R347" s="121"/>
      <c r="S347" s="122"/>
      <c r="T347" s="124"/>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3543</v>
      </c>
      <c r="D351" s="88"/>
      <c r="W351" s="35" t="str">
        <f>"-- "&amp;B351&amp;" : "&amp;C351</f>
        <v>-- SQL_ID : 01_A3-21</v>
      </c>
    </row>
    <row r="352" spans="2:23" ht="18.75" customHeight="1">
      <c r="B352" s="43" t="s">
        <v>158</v>
      </c>
      <c r="C352" s="127" t="str">
        <f>R355&amp;"登録"</f>
        <v>バックアップ_医薬品販売会社マスタ登録</v>
      </c>
      <c r="D352" s="128"/>
      <c r="E352" s="128"/>
      <c r="F352" s="128"/>
      <c r="G352" s="128"/>
      <c r="H352" s="128"/>
      <c r="I352" s="128"/>
      <c r="J352" s="128"/>
      <c r="K352" s="128"/>
      <c r="L352" s="128"/>
      <c r="M352" s="128"/>
      <c r="N352" s="128"/>
      <c r="O352" s="128"/>
      <c r="P352" s="128"/>
      <c r="Q352" s="128"/>
      <c r="R352" s="128"/>
      <c r="S352" s="128"/>
      <c r="T352" s="128"/>
      <c r="U352" s="129"/>
      <c r="W352" s="35" t="str">
        <f>"-- "&amp;C352</f>
        <v>-- バックアップ_医薬品販売会社マスタ登録</v>
      </c>
    </row>
    <row r="353" spans="2:23" ht="18.75" customHeight="1">
      <c r="B353" s="43" t="s">
        <v>159</v>
      </c>
      <c r="C353" s="130" t="str">
        <f>C355&amp;"テーブルのレコードを"&amp;R355&amp;"テーブルに格納する。"</f>
        <v>医薬品販売会社マスタテーブルのレコードをバックアップ_医薬品販売会社マスタテーブルに格納する。</v>
      </c>
      <c r="D353" s="131"/>
      <c r="E353" s="131"/>
      <c r="F353" s="131"/>
      <c r="G353" s="131"/>
      <c r="H353" s="131"/>
      <c r="I353" s="131"/>
      <c r="J353" s="131"/>
      <c r="K353" s="131"/>
      <c r="L353" s="131"/>
      <c r="M353" s="131"/>
      <c r="N353" s="131"/>
      <c r="O353" s="131"/>
      <c r="P353" s="131"/>
      <c r="Q353" s="131"/>
      <c r="R353" s="131"/>
      <c r="S353" s="131"/>
      <c r="T353" s="131"/>
      <c r="U353" s="132"/>
      <c r="W353" s="35" t="str">
        <f>"-- "&amp;C353</f>
        <v>-- 医薬品販売会社マスタテーブルのレコードをバックアップ_医薬品販売会社マスタテーブルに格納する。</v>
      </c>
    </row>
    <row r="355" spans="2:23" ht="18.75" customHeight="1">
      <c r="C355" s="119" t="s">
        <v>3544</v>
      </c>
      <c r="D355" s="120"/>
      <c r="E355" s="125" t="s">
        <v>162</v>
      </c>
      <c r="F355" s="36"/>
      <c r="G355" s="36"/>
      <c r="H355" s="36"/>
      <c r="I355" s="36"/>
      <c r="J355" s="36"/>
      <c r="K355" s="36"/>
      <c r="L355" s="36"/>
      <c r="M355" s="36"/>
      <c r="N355" s="36"/>
      <c r="O355" s="36"/>
      <c r="P355" s="36"/>
      <c r="Q355" s="36"/>
      <c r="R355" s="119" t="str">
        <f>"バックアップ_"&amp;SUBSTITUTE(C355,"_結合","")</f>
        <v>バックアップ_医薬品販売会社マスタ</v>
      </c>
      <c r="S355" s="120"/>
      <c r="T355" s="123" t="str">
        <f>エンティティ一覧!$O$2</f>
        <v>milscm_2023_009</v>
      </c>
    </row>
    <row r="356" spans="2:23" ht="18.75" customHeight="1">
      <c r="C356" s="121"/>
      <c r="D356" s="122"/>
      <c r="E356" s="126"/>
      <c r="F356" s="37"/>
      <c r="G356" s="37"/>
      <c r="H356" s="37"/>
      <c r="I356" s="37"/>
      <c r="J356" s="37"/>
      <c r="K356" s="37"/>
      <c r="L356" s="37"/>
      <c r="M356" s="37"/>
      <c r="N356" s="37"/>
      <c r="O356" s="37"/>
      <c r="P356" s="37"/>
      <c r="Q356" s="37"/>
      <c r="R356" s="121"/>
      <c r="S356" s="122"/>
      <c r="T356" s="124"/>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3545</v>
      </c>
      <c r="D360" s="88"/>
      <c r="W360" s="35" t="str">
        <f>"-- "&amp;B360&amp;" : "&amp;C360</f>
        <v>-- SQL_ID : 01_A3-22</v>
      </c>
    </row>
    <row r="361" spans="2:23" ht="18.75" customHeight="1">
      <c r="B361" s="43" t="s">
        <v>158</v>
      </c>
      <c r="C361" s="127" t="str">
        <f>R364&amp;"登録"</f>
        <v>バックアップ_メーカマスタ登録</v>
      </c>
      <c r="D361" s="128"/>
      <c r="E361" s="128"/>
      <c r="F361" s="128"/>
      <c r="G361" s="128"/>
      <c r="H361" s="128"/>
      <c r="I361" s="128"/>
      <c r="J361" s="128"/>
      <c r="K361" s="128"/>
      <c r="L361" s="128"/>
      <c r="M361" s="128"/>
      <c r="N361" s="128"/>
      <c r="O361" s="128"/>
      <c r="P361" s="128"/>
      <c r="Q361" s="128"/>
      <c r="R361" s="128"/>
      <c r="S361" s="128"/>
      <c r="T361" s="128"/>
      <c r="U361" s="129"/>
      <c r="W361" s="35" t="str">
        <f>"-- "&amp;C361</f>
        <v>-- バックアップ_メーカマスタ登録</v>
      </c>
    </row>
    <row r="362" spans="2:23" ht="18.75" customHeight="1">
      <c r="B362" s="43" t="s">
        <v>159</v>
      </c>
      <c r="C362" s="130" t="str">
        <f>C364&amp;"テーブルのレコードを"&amp;R364&amp;"テーブルに格納する。"</f>
        <v>メーカマスタテーブルのレコードをバックアップ_メーカマスタテーブルに格納する。</v>
      </c>
      <c r="D362" s="131"/>
      <c r="E362" s="131"/>
      <c r="F362" s="131"/>
      <c r="G362" s="131"/>
      <c r="H362" s="131"/>
      <c r="I362" s="131"/>
      <c r="J362" s="131"/>
      <c r="K362" s="131"/>
      <c r="L362" s="131"/>
      <c r="M362" s="131"/>
      <c r="N362" s="131"/>
      <c r="O362" s="131"/>
      <c r="P362" s="131"/>
      <c r="Q362" s="131"/>
      <c r="R362" s="131"/>
      <c r="S362" s="131"/>
      <c r="T362" s="131"/>
      <c r="U362" s="132"/>
      <c r="W362" s="35" t="str">
        <f>"-- "&amp;C362</f>
        <v>-- メーカマスタテーブルのレコードをバックアップ_メーカマスタテーブルに格納する。</v>
      </c>
    </row>
    <row r="364" spans="2:23" ht="18.75" customHeight="1">
      <c r="C364" s="119" t="s">
        <v>3546</v>
      </c>
      <c r="D364" s="120"/>
      <c r="E364" s="125" t="s">
        <v>162</v>
      </c>
      <c r="F364" s="36"/>
      <c r="G364" s="36"/>
      <c r="H364" s="36"/>
      <c r="I364" s="36"/>
      <c r="J364" s="36"/>
      <c r="K364" s="36"/>
      <c r="L364" s="36"/>
      <c r="M364" s="36"/>
      <c r="N364" s="36"/>
      <c r="O364" s="36"/>
      <c r="P364" s="36"/>
      <c r="Q364" s="36"/>
      <c r="R364" s="119" t="str">
        <f>"バックアップ_"&amp;SUBSTITUTE(C364,"_結合","")</f>
        <v>バックアップ_メーカマスタ</v>
      </c>
      <c r="S364" s="120"/>
      <c r="T364" s="123" t="str">
        <f>エンティティ一覧!$O$2</f>
        <v>milscm_2023_009</v>
      </c>
    </row>
    <row r="365" spans="2:23" ht="18.75" customHeight="1">
      <c r="C365" s="121"/>
      <c r="D365" s="122"/>
      <c r="E365" s="126"/>
      <c r="F365" s="37"/>
      <c r="G365" s="37"/>
      <c r="H365" s="37"/>
      <c r="I365" s="37"/>
      <c r="J365" s="37"/>
      <c r="K365" s="37"/>
      <c r="L365" s="37"/>
      <c r="M365" s="37"/>
      <c r="N365" s="37"/>
      <c r="O365" s="37"/>
      <c r="P365" s="37"/>
      <c r="Q365" s="37"/>
      <c r="R365" s="121"/>
      <c r="S365" s="122"/>
      <c r="T365" s="124"/>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3547</v>
      </c>
      <c r="D369" s="88"/>
      <c r="W369" s="35" t="str">
        <f>"-- "&amp;B369&amp;" : "&amp;C369</f>
        <v>-- SQL_ID : 01_A3-23</v>
      </c>
    </row>
    <row r="370" spans="2:23" ht="18.75" customHeight="1">
      <c r="B370" s="43" t="s">
        <v>158</v>
      </c>
      <c r="C370" s="127" t="str">
        <f>R373&amp;"登録"</f>
        <v>バックアップ_薬価マスタ登録</v>
      </c>
      <c r="D370" s="128"/>
      <c r="E370" s="128"/>
      <c r="F370" s="128"/>
      <c r="G370" s="128"/>
      <c r="H370" s="128"/>
      <c r="I370" s="128"/>
      <c r="J370" s="128"/>
      <c r="K370" s="128"/>
      <c r="L370" s="128"/>
      <c r="M370" s="128"/>
      <c r="N370" s="128"/>
      <c r="O370" s="128"/>
      <c r="P370" s="128"/>
      <c r="Q370" s="128"/>
      <c r="R370" s="128"/>
      <c r="S370" s="128"/>
      <c r="T370" s="128"/>
      <c r="U370" s="129"/>
      <c r="W370" s="35" t="str">
        <f>"-- "&amp;C370</f>
        <v>-- バックアップ_薬価マスタ登録</v>
      </c>
    </row>
    <row r="371" spans="2:23" ht="18.75" customHeight="1">
      <c r="B371" s="43" t="s">
        <v>159</v>
      </c>
      <c r="C371" s="130" t="str">
        <f>C373&amp;"テーブルのレコードを"&amp;R373&amp;"テーブルに格納する。"</f>
        <v>薬価マスタテーブルのレコードをバックアップ_薬価マスタテーブルに格納する。</v>
      </c>
      <c r="D371" s="131"/>
      <c r="E371" s="131"/>
      <c r="F371" s="131"/>
      <c r="G371" s="131"/>
      <c r="H371" s="131"/>
      <c r="I371" s="131"/>
      <c r="J371" s="131"/>
      <c r="K371" s="131"/>
      <c r="L371" s="131"/>
      <c r="M371" s="131"/>
      <c r="N371" s="131"/>
      <c r="O371" s="131"/>
      <c r="P371" s="131"/>
      <c r="Q371" s="131"/>
      <c r="R371" s="131"/>
      <c r="S371" s="131"/>
      <c r="T371" s="131"/>
      <c r="U371" s="132"/>
      <c r="W371" s="35" t="str">
        <f>"-- "&amp;C371</f>
        <v>-- 薬価マスタテーブルのレコードをバックアップ_薬価マスタテーブルに格納する。</v>
      </c>
    </row>
    <row r="373" spans="2:23" ht="18.75" customHeight="1">
      <c r="C373" s="119" t="s">
        <v>3548</v>
      </c>
      <c r="D373" s="120"/>
      <c r="E373" s="125" t="s">
        <v>162</v>
      </c>
      <c r="F373" s="36"/>
      <c r="G373" s="36"/>
      <c r="H373" s="36"/>
      <c r="I373" s="36"/>
      <c r="J373" s="36"/>
      <c r="K373" s="36"/>
      <c r="L373" s="36"/>
      <c r="M373" s="36"/>
      <c r="N373" s="36"/>
      <c r="O373" s="36"/>
      <c r="P373" s="36"/>
      <c r="Q373" s="36"/>
      <c r="R373" s="119" t="str">
        <f>"バックアップ_"&amp;SUBSTITUTE(C373,"_結合","")</f>
        <v>バックアップ_薬価マスタ</v>
      </c>
      <c r="S373" s="120"/>
      <c r="T373" s="123" t="str">
        <f>エンティティ一覧!$O$2</f>
        <v>milscm_2023_009</v>
      </c>
    </row>
    <row r="374" spans="2:23" ht="18.75" customHeight="1">
      <c r="C374" s="121"/>
      <c r="D374" s="122"/>
      <c r="E374" s="126"/>
      <c r="F374" s="37"/>
      <c r="G374" s="37"/>
      <c r="H374" s="37"/>
      <c r="I374" s="37"/>
      <c r="J374" s="37"/>
      <c r="K374" s="37"/>
      <c r="L374" s="37"/>
      <c r="M374" s="37"/>
      <c r="N374" s="37"/>
      <c r="O374" s="37"/>
      <c r="P374" s="37"/>
      <c r="Q374" s="37"/>
      <c r="R374" s="121"/>
      <c r="S374" s="122"/>
      <c r="T374" s="124"/>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3549</v>
      </c>
      <c r="D378" s="88"/>
      <c r="W378" s="35" t="str">
        <f>"-- "&amp;B378&amp;" : "&amp;C378</f>
        <v>-- SQL_ID : 01_A3-24</v>
      </c>
    </row>
    <row r="379" spans="2:23" ht="18.75" customHeight="1">
      <c r="B379" s="43" t="s">
        <v>158</v>
      </c>
      <c r="C379" s="127" t="str">
        <f>R382&amp;"登録"</f>
        <v>バックアップ_薬効ATC分類1マスタ登録</v>
      </c>
      <c r="D379" s="128"/>
      <c r="E379" s="128"/>
      <c r="F379" s="128"/>
      <c r="G379" s="128"/>
      <c r="H379" s="128"/>
      <c r="I379" s="128"/>
      <c r="J379" s="128"/>
      <c r="K379" s="128"/>
      <c r="L379" s="128"/>
      <c r="M379" s="128"/>
      <c r="N379" s="128"/>
      <c r="O379" s="128"/>
      <c r="P379" s="128"/>
      <c r="Q379" s="128"/>
      <c r="R379" s="128"/>
      <c r="S379" s="128"/>
      <c r="T379" s="128"/>
      <c r="U379" s="129"/>
      <c r="W379" s="35" t="str">
        <f>"-- "&amp;C379</f>
        <v>-- バックアップ_薬効ATC分類1マスタ登録</v>
      </c>
    </row>
    <row r="380" spans="2:23" ht="18.75" customHeight="1">
      <c r="B380" s="43" t="s">
        <v>159</v>
      </c>
      <c r="C380" s="130" t="str">
        <f>C382&amp;"テーブルのレコードを"&amp;R382&amp;"テーブルに格納する。"</f>
        <v>薬効ATC分類1マスタテーブルのレコードをバックアップ_薬効ATC分類1マスタテーブルに格納する。</v>
      </c>
      <c r="D380" s="131"/>
      <c r="E380" s="131"/>
      <c r="F380" s="131"/>
      <c r="G380" s="131"/>
      <c r="H380" s="131"/>
      <c r="I380" s="131"/>
      <c r="J380" s="131"/>
      <c r="K380" s="131"/>
      <c r="L380" s="131"/>
      <c r="M380" s="131"/>
      <c r="N380" s="131"/>
      <c r="O380" s="131"/>
      <c r="P380" s="131"/>
      <c r="Q380" s="131"/>
      <c r="R380" s="131"/>
      <c r="S380" s="131"/>
      <c r="T380" s="131"/>
      <c r="U380" s="132"/>
      <c r="W380" s="35" t="str">
        <f>"-- "&amp;C380</f>
        <v>-- 薬効ATC分類1マスタテーブルのレコードをバックアップ_薬効ATC分類1マスタテーブルに格納する。</v>
      </c>
    </row>
    <row r="382" spans="2:23" ht="18.75" customHeight="1">
      <c r="C382" s="119" t="s">
        <v>3550</v>
      </c>
      <c r="D382" s="120"/>
      <c r="E382" s="125" t="s">
        <v>162</v>
      </c>
      <c r="F382" s="36"/>
      <c r="G382" s="36"/>
      <c r="H382" s="36"/>
      <c r="I382" s="36"/>
      <c r="J382" s="36"/>
      <c r="K382" s="36"/>
      <c r="L382" s="36"/>
      <c r="M382" s="36"/>
      <c r="N382" s="36"/>
      <c r="O382" s="36"/>
      <c r="P382" s="36"/>
      <c r="Q382" s="36"/>
      <c r="R382" s="119" t="str">
        <f>"バックアップ_"&amp;SUBSTITUTE(C382,"_結合","")</f>
        <v>バックアップ_薬効ATC分類1マスタ</v>
      </c>
      <c r="S382" s="120"/>
      <c r="T382" s="123" t="str">
        <f>エンティティ一覧!$O$2</f>
        <v>milscm_2023_009</v>
      </c>
    </row>
    <row r="383" spans="2:23" ht="18.75" customHeight="1">
      <c r="C383" s="121"/>
      <c r="D383" s="122"/>
      <c r="E383" s="126"/>
      <c r="F383" s="37"/>
      <c r="G383" s="37"/>
      <c r="H383" s="37"/>
      <c r="I383" s="37"/>
      <c r="J383" s="37"/>
      <c r="K383" s="37"/>
      <c r="L383" s="37"/>
      <c r="M383" s="37"/>
      <c r="N383" s="37"/>
      <c r="O383" s="37"/>
      <c r="P383" s="37"/>
      <c r="Q383" s="37"/>
      <c r="R383" s="121"/>
      <c r="S383" s="122"/>
      <c r="T383" s="124"/>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3551</v>
      </c>
      <c r="D387" s="88"/>
      <c r="W387" s="35" t="str">
        <f>"-- "&amp;B387&amp;" : "&amp;C387</f>
        <v>-- SQL_ID : 01_A3-25</v>
      </c>
    </row>
    <row r="388" spans="2:23" ht="18.75" customHeight="1">
      <c r="B388" s="43" t="s">
        <v>158</v>
      </c>
      <c r="C388" s="127" t="str">
        <f>R391&amp;"登録"</f>
        <v>バックアップ_薬効ATC分類2マスタ登録</v>
      </c>
      <c r="D388" s="128"/>
      <c r="E388" s="128"/>
      <c r="F388" s="128"/>
      <c r="G388" s="128"/>
      <c r="H388" s="128"/>
      <c r="I388" s="128"/>
      <c r="J388" s="128"/>
      <c r="K388" s="128"/>
      <c r="L388" s="128"/>
      <c r="M388" s="128"/>
      <c r="N388" s="128"/>
      <c r="O388" s="128"/>
      <c r="P388" s="128"/>
      <c r="Q388" s="128"/>
      <c r="R388" s="128"/>
      <c r="S388" s="128"/>
      <c r="T388" s="128"/>
      <c r="U388" s="129"/>
      <c r="W388" s="35" t="str">
        <f>"-- "&amp;C388</f>
        <v>-- バックアップ_薬効ATC分類2マスタ登録</v>
      </c>
    </row>
    <row r="389" spans="2:23" ht="18.75" customHeight="1">
      <c r="B389" s="43" t="s">
        <v>159</v>
      </c>
      <c r="C389" s="130" t="str">
        <f>C391&amp;"テーブルのレコードを"&amp;R391&amp;"テーブルに格納する。"</f>
        <v>薬効ATC分類2マスタテーブルのレコードをバックアップ_薬効ATC分類2マスタテーブルに格納する。</v>
      </c>
      <c r="D389" s="131"/>
      <c r="E389" s="131"/>
      <c r="F389" s="131"/>
      <c r="G389" s="131"/>
      <c r="H389" s="131"/>
      <c r="I389" s="131"/>
      <c r="J389" s="131"/>
      <c r="K389" s="131"/>
      <c r="L389" s="131"/>
      <c r="M389" s="131"/>
      <c r="N389" s="131"/>
      <c r="O389" s="131"/>
      <c r="P389" s="131"/>
      <c r="Q389" s="131"/>
      <c r="R389" s="131"/>
      <c r="S389" s="131"/>
      <c r="T389" s="131"/>
      <c r="U389" s="132"/>
      <c r="W389" s="35" t="str">
        <f>"-- "&amp;C389</f>
        <v>-- 薬効ATC分類2マスタテーブルのレコードをバックアップ_薬効ATC分類2マスタテーブルに格納する。</v>
      </c>
    </row>
    <row r="391" spans="2:23" ht="18.75" customHeight="1">
      <c r="C391" s="119" t="s">
        <v>3552</v>
      </c>
      <c r="D391" s="120"/>
      <c r="E391" s="125" t="s">
        <v>162</v>
      </c>
      <c r="F391" s="36"/>
      <c r="G391" s="36"/>
      <c r="H391" s="36"/>
      <c r="I391" s="36"/>
      <c r="J391" s="36"/>
      <c r="K391" s="36"/>
      <c r="L391" s="36"/>
      <c r="M391" s="36"/>
      <c r="N391" s="36"/>
      <c r="O391" s="36"/>
      <c r="P391" s="36"/>
      <c r="Q391" s="36"/>
      <c r="R391" s="119" t="str">
        <f>"バックアップ_"&amp;SUBSTITUTE(C391,"_結合","")</f>
        <v>バックアップ_薬効ATC分類2マスタ</v>
      </c>
      <c r="S391" s="120"/>
      <c r="T391" s="123" t="str">
        <f>エンティティ一覧!$O$2</f>
        <v>milscm_2023_009</v>
      </c>
    </row>
    <row r="392" spans="2:23" ht="18.75" customHeight="1">
      <c r="C392" s="121"/>
      <c r="D392" s="122"/>
      <c r="E392" s="126"/>
      <c r="F392" s="37"/>
      <c r="G392" s="37"/>
      <c r="H392" s="37"/>
      <c r="I392" s="37"/>
      <c r="J392" s="37"/>
      <c r="K392" s="37"/>
      <c r="L392" s="37"/>
      <c r="M392" s="37"/>
      <c r="N392" s="37"/>
      <c r="O392" s="37"/>
      <c r="P392" s="37"/>
      <c r="Q392" s="37"/>
      <c r="R392" s="121"/>
      <c r="S392" s="122"/>
      <c r="T392" s="124"/>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3553</v>
      </c>
      <c r="D396" s="88"/>
      <c r="W396" s="35" t="str">
        <f>"-- "&amp;B396&amp;" : "&amp;C396</f>
        <v>-- SQL_ID : 01_A3-26</v>
      </c>
    </row>
    <row r="397" spans="2:23" ht="18.75" customHeight="1">
      <c r="B397" s="43" t="s">
        <v>158</v>
      </c>
      <c r="C397" s="127" t="str">
        <f>R400&amp;"登録"</f>
        <v>バックアップ_薬効ATC分類3マスタ登録</v>
      </c>
      <c r="D397" s="128"/>
      <c r="E397" s="128"/>
      <c r="F397" s="128"/>
      <c r="G397" s="128"/>
      <c r="H397" s="128"/>
      <c r="I397" s="128"/>
      <c r="J397" s="128"/>
      <c r="K397" s="128"/>
      <c r="L397" s="128"/>
      <c r="M397" s="128"/>
      <c r="N397" s="128"/>
      <c r="O397" s="128"/>
      <c r="P397" s="128"/>
      <c r="Q397" s="128"/>
      <c r="R397" s="128"/>
      <c r="S397" s="128"/>
      <c r="T397" s="128"/>
      <c r="U397" s="129"/>
      <c r="W397" s="35" t="str">
        <f>"-- "&amp;C397</f>
        <v>-- バックアップ_薬効ATC分類3マスタ登録</v>
      </c>
    </row>
    <row r="398" spans="2:23" ht="18.75" customHeight="1">
      <c r="B398" s="43" t="s">
        <v>159</v>
      </c>
      <c r="C398" s="130" t="str">
        <f>C400&amp;"テーブルのレコードを"&amp;R400&amp;"テーブルに格納する。"</f>
        <v>薬効ATC分類3マスタテーブルのレコードをバックアップ_薬効ATC分類3マスタテーブルに格納する。</v>
      </c>
      <c r="D398" s="131"/>
      <c r="E398" s="131"/>
      <c r="F398" s="131"/>
      <c r="G398" s="131"/>
      <c r="H398" s="131"/>
      <c r="I398" s="131"/>
      <c r="J398" s="131"/>
      <c r="K398" s="131"/>
      <c r="L398" s="131"/>
      <c r="M398" s="131"/>
      <c r="N398" s="131"/>
      <c r="O398" s="131"/>
      <c r="P398" s="131"/>
      <c r="Q398" s="131"/>
      <c r="R398" s="131"/>
      <c r="S398" s="131"/>
      <c r="T398" s="131"/>
      <c r="U398" s="132"/>
      <c r="W398" s="35" t="str">
        <f>"-- "&amp;C398</f>
        <v>-- 薬効ATC分類3マスタテーブルのレコードをバックアップ_薬効ATC分類3マスタテーブルに格納する。</v>
      </c>
    </row>
    <row r="400" spans="2:23" ht="18.75" customHeight="1">
      <c r="C400" s="119" t="s">
        <v>3554</v>
      </c>
      <c r="D400" s="120"/>
      <c r="E400" s="125" t="s">
        <v>162</v>
      </c>
      <c r="F400" s="36"/>
      <c r="G400" s="36"/>
      <c r="H400" s="36"/>
      <c r="I400" s="36"/>
      <c r="J400" s="36"/>
      <c r="K400" s="36"/>
      <c r="L400" s="36"/>
      <c r="M400" s="36"/>
      <c r="N400" s="36"/>
      <c r="O400" s="36"/>
      <c r="P400" s="36"/>
      <c r="Q400" s="36"/>
      <c r="R400" s="119" t="str">
        <f>"バックアップ_"&amp;SUBSTITUTE(C400,"_結合","")</f>
        <v>バックアップ_薬効ATC分類3マスタ</v>
      </c>
      <c r="S400" s="120"/>
      <c r="T400" s="123" t="str">
        <f>エンティティ一覧!$O$2</f>
        <v>milscm_2023_009</v>
      </c>
    </row>
    <row r="401" spans="2:23" ht="18.75" customHeight="1">
      <c r="C401" s="121"/>
      <c r="D401" s="122"/>
      <c r="E401" s="126"/>
      <c r="F401" s="37"/>
      <c r="G401" s="37"/>
      <c r="H401" s="37"/>
      <c r="I401" s="37"/>
      <c r="J401" s="37"/>
      <c r="K401" s="37"/>
      <c r="L401" s="37"/>
      <c r="M401" s="37"/>
      <c r="N401" s="37"/>
      <c r="O401" s="37"/>
      <c r="P401" s="37"/>
      <c r="Q401" s="37"/>
      <c r="R401" s="121"/>
      <c r="S401" s="122"/>
      <c r="T401" s="124"/>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3555</v>
      </c>
      <c r="D405" s="88"/>
      <c r="W405" s="35" t="str">
        <f>"-- "&amp;B405&amp;" : "&amp;C405</f>
        <v>-- SQL_ID : 01_A3-27</v>
      </c>
    </row>
    <row r="406" spans="2:23" ht="18.75" customHeight="1">
      <c r="B406" s="43" t="s">
        <v>158</v>
      </c>
      <c r="C406" s="127" t="str">
        <f>R409&amp;"登録"</f>
        <v>バックアップ_薬効ATC分類4マスタ登録</v>
      </c>
      <c r="D406" s="128"/>
      <c r="E406" s="128"/>
      <c r="F406" s="128"/>
      <c r="G406" s="128"/>
      <c r="H406" s="128"/>
      <c r="I406" s="128"/>
      <c r="J406" s="128"/>
      <c r="K406" s="128"/>
      <c r="L406" s="128"/>
      <c r="M406" s="128"/>
      <c r="N406" s="128"/>
      <c r="O406" s="128"/>
      <c r="P406" s="128"/>
      <c r="Q406" s="128"/>
      <c r="R406" s="128"/>
      <c r="S406" s="128"/>
      <c r="T406" s="128"/>
      <c r="U406" s="129"/>
      <c r="W406" s="35" t="str">
        <f>"-- "&amp;C406</f>
        <v>-- バックアップ_薬効ATC分類4マスタ登録</v>
      </c>
    </row>
    <row r="407" spans="2:23" ht="18.75" customHeight="1">
      <c r="B407" s="43" t="s">
        <v>159</v>
      </c>
      <c r="C407" s="130" t="str">
        <f>C409&amp;"テーブルのレコードを"&amp;R409&amp;"テーブルに格納する。"</f>
        <v>薬効ATC分類4マスタテーブルのレコードをバックアップ_薬効ATC分類4マスタテーブルに格納する。</v>
      </c>
      <c r="D407" s="131"/>
      <c r="E407" s="131"/>
      <c r="F407" s="131"/>
      <c r="G407" s="131"/>
      <c r="H407" s="131"/>
      <c r="I407" s="131"/>
      <c r="J407" s="131"/>
      <c r="K407" s="131"/>
      <c r="L407" s="131"/>
      <c r="M407" s="131"/>
      <c r="N407" s="131"/>
      <c r="O407" s="131"/>
      <c r="P407" s="131"/>
      <c r="Q407" s="131"/>
      <c r="R407" s="131"/>
      <c r="S407" s="131"/>
      <c r="T407" s="131"/>
      <c r="U407" s="132"/>
      <c r="W407" s="35" t="str">
        <f>"-- "&amp;C407</f>
        <v>-- 薬効ATC分類4マスタテーブルのレコードをバックアップ_薬効ATC分類4マスタテーブルに格納する。</v>
      </c>
    </row>
    <row r="409" spans="2:23" ht="18.75" customHeight="1">
      <c r="C409" s="119" t="s">
        <v>3556</v>
      </c>
      <c r="D409" s="120"/>
      <c r="E409" s="125" t="s">
        <v>162</v>
      </c>
      <c r="F409" s="36"/>
      <c r="G409" s="36"/>
      <c r="H409" s="36"/>
      <c r="I409" s="36"/>
      <c r="J409" s="36"/>
      <c r="K409" s="36"/>
      <c r="L409" s="36"/>
      <c r="M409" s="36"/>
      <c r="N409" s="36"/>
      <c r="O409" s="36"/>
      <c r="P409" s="36"/>
      <c r="Q409" s="36"/>
      <c r="R409" s="119" t="str">
        <f>"バックアップ_"&amp;SUBSTITUTE(C409,"_結合","")</f>
        <v>バックアップ_薬効ATC分類4マスタ</v>
      </c>
      <c r="S409" s="120"/>
      <c r="T409" s="123" t="str">
        <f>エンティティ一覧!$O$2</f>
        <v>milscm_2023_009</v>
      </c>
    </row>
    <row r="410" spans="2:23" ht="18.75" customHeight="1">
      <c r="C410" s="121"/>
      <c r="D410" s="122"/>
      <c r="E410" s="126"/>
      <c r="F410" s="37"/>
      <c r="G410" s="37"/>
      <c r="H410" s="37"/>
      <c r="I410" s="37"/>
      <c r="J410" s="37"/>
      <c r="K410" s="37"/>
      <c r="L410" s="37"/>
      <c r="M410" s="37"/>
      <c r="N410" s="37"/>
      <c r="O410" s="37"/>
      <c r="P410" s="37"/>
      <c r="Q410" s="37"/>
      <c r="R410" s="121"/>
      <c r="S410" s="122"/>
      <c r="T410" s="124"/>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3557</v>
      </c>
      <c r="D414" s="88"/>
      <c r="W414" s="35" t="str">
        <f>"-- "&amp;B414&amp;" : "&amp;C414</f>
        <v>-- SQL_ID : 01_A3-28</v>
      </c>
    </row>
    <row r="415" spans="2:23" ht="18.75" customHeight="1">
      <c r="B415" s="43" t="s">
        <v>158</v>
      </c>
      <c r="C415" s="127" t="str">
        <f>R418&amp;"登録"</f>
        <v>バックアップ_薬効ATC分類5マスタ登録</v>
      </c>
      <c r="D415" s="128"/>
      <c r="E415" s="128"/>
      <c r="F415" s="128"/>
      <c r="G415" s="128"/>
      <c r="H415" s="128"/>
      <c r="I415" s="128"/>
      <c r="J415" s="128"/>
      <c r="K415" s="128"/>
      <c r="L415" s="128"/>
      <c r="M415" s="128"/>
      <c r="N415" s="128"/>
      <c r="O415" s="128"/>
      <c r="P415" s="128"/>
      <c r="Q415" s="128"/>
      <c r="R415" s="128"/>
      <c r="S415" s="128"/>
      <c r="T415" s="128"/>
      <c r="U415" s="129"/>
      <c r="W415" s="35" t="str">
        <f>"-- "&amp;C415</f>
        <v>-- バックアップ_薬効ATC分類5マスタ登録</v>
      </c>
    </row>
    <row r="416" spans="2:23" ht="18.75" customHeight="1">
      <c r="B416" s="43" t="s">
        <v>159</v>
      </c>
      <c r="C416" s="130" t="str">
        <f>C418&amp;"テーブルのレコードを"&amp;R418&amp;"テーブルに格納する。"</f>
        <v>薬効ATC分類5マスタテーブルのレコードをバックアップ_薬効ATC分類5マスタテーブルに格納する。</v>
      </c>
      <c r="D416" s="131"/>
      <c r="E416" s="131"/>
      <c r="F416" s="131"/>
      <c r="G416" s="131"/>
      <c r="H416" s="131"/>
      <c r="I416" s="131"/>
      <c r="J416" s="131"/>
      <c r="K416" s="131"/>
      <c r="L416" s="131"/>
      <c r="M416" s="131"/>
      <c r="N416" s="131"/>
      <c r="O416" s="131"/>
      <c r="P416" s="131"/>
      <c r="Q416" s="131"/>
      <c r="R416" s="131"/>
      <c r="S416" s="131"/>
      <c r="T416" s="131"/>
      <c r="U416" s="132"/>
      <c r="W416" s="35" t="str">
        <f>"-- "&amp;C416</f>
        <v>-- 薬効ATC分類5マスタテーブルのレコードをバックアップ_薬効ATC分類5マスタテーブルに格納する。</v>
      </c>
    </row>
    <row r="418" spans="2:23" ht="18.75" customHeight="1">
      <c r="C418" s="119" t="s">
        <v>3558</v>
      </c>
      <c r="D418" s="120"/>
      <c r="E418" s="125" t="s">
        <v>162</v>
      </c>
      <c r="F418" s="36"/>
      <c r="G418" s="36"/>
      <c r="H418" s="36"/>
      <c r="I418" s="36"/>
      <c r="J418" s="36"/>
      <c r="K418" s="36"/>
      <c r="L418" s="36"/>
      <c r="M418" s="36"/>
      <c r="N418" s="36"/>
      <c r="O418" s="36"/>
      <c r="P418" s="36"/>
      <c r="Q418" s="36"/>
      <c r="R418" s="119" t="str">
        <f>"バックアップ_"&amp;SUBSTITUTE(C418,"_結合","")</f>
        <v>バックアップ_薬効ATC分類5マスタ</v>
      </c>
      <c r="S418" s="120"/>
      <c r="T418" s="123" t="str">
        <f>エンティティ一覧!$O$2</f>
        <v>milscm_2023_009</v>
      </c>
    </row>
    <row r="419" spans="2:23" ht="18.75" customHeight="1">
      <c r="C419" s="121"/>
      <c r="D419" s="122"/>
      <c r="E419" s="126"/>
      <c r="F419" s="37"/>
      <c r="G419" s="37"/>
      <c r="H419" s="37"/>
      <c r="I419" s="37"/>
      <c r="J419" s="37"/>
      <c r="K419" s="37"/>
      <c r="L419" s="37"/>
      <c r="M419" s="37"/>
      <c r="N419" s="37"/>
      <c r="O419" s="37"/>
      <c r="P419" s="37"/>
      <c r="Q419" s="37"/>
      <c r="R419" s="121"/>
      <c r="S419" s="122"/>
      <c r="T419" s="124"/>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3559</v>
      </c>
      <c r="D423" s="88"/>
      <c r="W423" s="35" t="str">
        <f>"-- "&amp;B423&amp;" : "&amp;C423</f>
        <v>-- SQL_ID : 01_A3-29</v>
      </c>
    </row>
    <row r="424" spans="2:23" ht="18.75" customHeight="1">
      <c r="B424" s="43" t="s">
        <v>158</v>
      </c>
      <c r="C424" s="127" t="str">
        <f>R427&amp;"登録"</f>
        <v>バックアップ_疾病マスタ登録</v>
      </c>
      <c r="D424" s="128"/>
      <c r="E424" s="128"/>
      <c r="F424" s="128"/>
      <c r="G424" s="128"/>
      <c r="H424" s="128"/>
      <c r="I424" s="128"/>
      <c r="J424" s="128"/>
      <c r="K424" s="128"/>
      <c r="L424" s="128"/>
      <c r="M424" s="128"/>
      <c r="N424" s="128"/>
      <c r="O424" s="128"/>
      <c r="P424" s="128"/>
      <c r="Q424" s="128"/>
      <c r="R424" s="128"/>
      <c r="S424" s="128"/>
      <c r="T424" s="128"/>
      <c r="U424" s="129"/>
      <c r="W424" s="35" t="str">
        <f>"-- "&amp;C424</f>
        <v>-- バックアップ_疾病マスタ登録</v>
      </c>
    </row>
    <row r="425" spans="2:23" ht="18.75" customHeight="1">
      <c r="B425" s="43" t="s">
        <v>159</v>
      </c>
      <c r="C425" s="130" t="str">
        <f>C427&amp;"テーブルのレコードを"&amp;R427&amp;"テーブルに格納する。"</f>
        <v>疾病マスタテーブルのレコードをバックアップ_疾病マスタテーブルに格納する。</v>
      </c>
      <c r="D425" s="131"/>
      <c r="E425" s="131"/>
      <c r="F425" s="131"/>
      <c r="G425" s="131"/>
      <c r="H425" s="131"/>
      <c r="I425" s="131"/>
      <c r="J425" s="131"/>
      <c r="K425" s="131"/>
      <c r="L425" s="131"/>
      <c r="M425" s="131"/>
      <c r="N425" s="131"/>
      <c r="O425" s="131"/>
      <c r="P425" s="131"/>
      <c r="Q425" s="131"/>
      <c r="R425" s="131"/>
      <c r="S425" s="131"/>
      <c r="T425" s="131"/>
      <c r="U425" s="132"/>
      <c r="W425" s="35" t="str">
        <f>"-- "&amp;C425</f>
        <v>-- 疾病マスタテーブルのレコードをバックアップ_疾病マスタテーブルに格納する。</v>
      </c>
    </row>
    <row r="427" spans="2:23" ht="18.75" customHeight="1">
      <c r="C427" s="119" t="s">
        <v>3560</v>
      </c>
      <c r="D427" s="120"/>
      <c r="E427" s="125" t="s">
        <v>162</v>
      </c>
      <c r="F427" s="36"/>
      <c r="G427" s="36"/>
      <c r="H427" s="36"/>
      <c r="I427" s="36"/>
      <c r="J427" s="36"/>
      <c r="K427" s="36"/>
      <c r="L427" s="36"/>
      <c r="M427" s="36"/>
      <c r="N427" s="36"/>
      <c r="O427" s="36"/>
      <c r="P427" s="36"/>
      <c r="Q427" s="36"/>
      <c r="R427" s="119" t="str">
        <f>"バックアップ_"&amp;SUBSTITUTE(C427,"_結合","")</f>
        <v>バックアップ_疾病マスタ</v>
      </c>
      <c r="S427" s="120"/>
      <c r="T427" s="123" t="str">
        <f>エンティティ一覧!$O$2</f>
        <v>milscm_2023_009</v>
      </c>
    </row>
    <row r="428" spans="2:23" ht="18.75" customHeight="1">
      <c r="C428" s="121"/>
      <c r="D428" s="122"/>
      <c r="E428" s="126"/>
      <c r="F428" s="37"/>
      <c r="G428" s="37"/>
      <c r="H428" s="37"/>
      <c r="I428" s="37"/>
      <c r="J428" s="37"/>
      <c r="K428" s="37"/>
      <c r="L428" s="37"/>
      <c r="M428" s="37"/>
      <c r="N428" s="37"/>
      <c r="O428" s="37"/>
      <c r="P428" s="37"/>
      <c r="Q428" s="37"/>
      <c r="R428" s="121"/>
      <c r="S428" s="122"/>
      <c r="T428" s="124"/>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3561</v>
      </c>
      <c r="D432" s="88"/>
      <c r="W432" s="35" t="str">
        <f>"-- "&amp;B432&amp;" : "&amp;C432</f>
        <v>-- SQL_ID : 01_A3-30</v>
      </c>
    </row>
    <row r="433" spans="2:23" ht="18.75" customHeight="1">
      <c r="B433" s="43" t="s">
        <v>158</v>
      </c>
      <c r="C433" s="127" t="str">
        <f>R436&amp;"登録"</f>
        <v>バックアップ_ICD10大分類マスタ登録</v>
      </c>
      <c r="D433" s="128"/>
      <c r="E433" s="128"/>
      <c r="F433" s="128"/>
      <c r="G433" s="128"/>
      <c r="H433" s="128"/>
      <c r="I433" s="128"/>
      <c r="J433" s="128"/>
      <c r="K433" s="128"/>
      <c r="L433" s="128"/>
      <c r="M433" s="128"/>
      <c r="N433" s="128"/>
      <c r="O433" s="128"/>
      <c r="P433" s="128"/>
      <c r="Q433" s="128"/>
      <c r="R433" s="128"/>
      <c r="S433" s="128"/>
      <c r="T433" s="128"/>
      <c r="U433" s="129"/>
      <c r="W433" s="35" t="str">
        <f>"-- "&amp;C433</f>
        <v>-- バックアップ_ICD10大分類マスタ登録</v>
      </c>
    </row>
    <row r="434" spans="2:23" ht="18.75" customHeight="1">
      <c r="B434" s="43" t="s">
        <v>159</v>
      </c>
      <c r="C434" s="130" t="str">
        <f>C436&amp;"テーブルのレコードを"&amp;R436&amp;"テーブルに格納する。"</f>
        <v>ICD10大分類マスタテーブルのレコードをバックアップ_ICD10大分類マスタテーブルに格納する。</v>
      </c>
      <c r="D434" s="131"/>
      <c r="E434" s="131"/>
      <c r="F434" s="131"/>
      <c r="G434" s="131"/>
      <c r="H434" s="131"/>
      <c r="I434" s="131"/>
      <c r="J434" s="131"/>
      <c r="K434" s="131"/>
      <c r="L434" s="131"/>
      <c r="M434" s="131"/>
      <c r="N434" s="131"/>
      <c r="O434" s="131"/>
      <c r="P434" s="131"/>
      <c r="Q434" s="131"/>
      <c r="R434" s="131"/>
      <c r="S434" s="131"/>
      <c r="T434" s="131"/>
      <c r="U434" s="132"/>
      <c r="W434" s="35" t="str">
        <f>"-- "&amp;C434</f>
        <v>-- ICD10大分類マスタテーブルのレコードをバックアップ_ICD10大分類マスタテーブルに格納する。</v>
      </c>
    </row>
    <row r="436" spans="2:23" ht="18.75" customHeight="1">
      <c r="C436" s="119" t="s">
        <v>3562</v>
      </c>
      <c r="D436" s="120"/>
      <c r="E436" s="125" t="s">
        <v>162</v>
      </c>
      <c r="F436" s="36"/>
      <c r="G436" s="36"/>
      <c r="H436" s="36"/>
      <c r="I436" s="36"/>
      <c r="J436" s="36"/>
      <c r="K436" s="36"/>
      <c r="L436" s="36"/>
      <c r="M436" s="36"/>
      <c r="N436" s="36"/>
      <c r="O436" s="36"/>
      <c r="P436" s="36"/>
      <c r="Q436" s="36"/>
      <c r="R436" s="119" t="str">
        <f>"バックアップ_"&amp;SUBSTITUTE(C436,"_結合","")</f>
        <v>バックアップ_ICD10大分類マスタ</v>
      </c>
      <c r="S436" s="120"/>
      <c r="T436" s="123" t="str">
        <f>エンティティ一覧!$O$2</f>
        <v>milscm_2023_009</v>
      </c>
    </row>
    <row r="437" spans="2:23" ht="18.75" customHeight="1">
      <c r="C437" s="121"/>
      <c r="D437" s="122"/>
      <c r="E437" s="126"/>
      <c r="F437" s="37"/>
      <c r="G437" s="37"/>
      <c r="H437" s="37"/>
      <c r="I437" s="37"/>
      <c r="J437" s="37"/>
      <c r="K437" s="37"/>
      <c r="L437" s="37"/>
      <c r="M437" s="37"/>
      <c r="N437" s="37"/>
      <c r="O437" s="37"/>
      <c r="P437" s="37"/>
      <c r="Q437" s="37"/>
      <c r="R437" s="121"/>
      <c r="S437" s="122"/>
      <c r="T437" s="124"/>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3563</v>
      </c>
      <c r="D441" s="88"/>
      <c r="W441" s="35" t="str">
        <f>"-- "&amp;B441&amp;" : "&amp;C441</f>
        <v>-- SQL_ID : 01_A3-31</v>
      </c>
    </row>
    <row r="442" spans="2:23" ht="18.75" customHeight="1">
      <c r="B442" s="43" t="s">
        <v>158</v>
      </c>
      <c r="C442" s="127" t="str">
        <f>R445&amp;"登録"</f>
        <v>バックアップ_ICD10中分類マスタ登録</v>
      </c>
      <c r="D442" s="128"/>
      <c r="E442" s="128"/>
      <c r="F442" s="128"/>
      <c r="G442" s="128"/>
      <c r="H442" s="128"/>
      <c r="I442" s="128"/>
      <c r="J442" s="128"/>
      <c r="K442" s="128"/>
      <c r="L442" s="128"/>
      <c r="M442" s="128"/>
      <c r="N442" s="128"/>
      <c r="O442" s="128"/>
      <c r="P442" s="128"/>
      <c r="Q442" s="128"/>
      <c r="R442" s="128"/>
      <c r="S442" s="128"/>
      <c r="T442" s="128"/>
      <c r="U442" s="129"/>
      <c r="W442" s="35" t="str">
        <f>"-- "&amp;C442</f>
        <v>-- バックアップ_ICD10中分類マスタ登録</v>
      </c>
    </row>
    <row r="443" spans="2:23" ht="18.75" customHeight="1">
      <c r="B443" s="43" t="s">
        <v>159</v>
      </c>
      <c r="C443" s="130" t="str">
        <f>C445&amp;"テーブルのレコードを"&amp;R445&amp;"テーブルに格納する。"</f>
        <v>ICD10中分類マスタテーブルのレコードをバックアップ_ICD10中分類マスタテーブルに格納する。</v>
      </c>
      <c r="D443" s="131"/>
      <c r="E443" s="131"/>
      <c r="F443" s="131"/>
      <c r="G443" s="131"/>
      <c r="H443" s="131"/>
      <c r="I443" s="131"/>
      <c r="J443" s="131"/>
      <c r="K443" s="131"/>
      <c r="L443" s="131"/>
      <c r="M443" s="131"/>
      <c r="N443" s="131"/>
      <c r="O443" s="131"/>
      <c r="P443" s="131"/>
      <c r="Q443" s="131"/>
      <c r="R443" s="131"/>
      <c r="S443" s="131"/>
      <c r="T443" s="131"/>
      <c r="U443" s="132"/>
      <c r="W443" s="35" t="str">
        <f>"-- "&amp;C443</f>
        <v>-- ICD10中分類マスタテーブルのレコードをバックアップ_ICD10中分類マスタテーブルに格納する。</v>
      </c>
    </row>
    <row r="445" spans="2:23" ht="18.75" customHeight="1">
      <c r="C445" s="119" t="s">
        <v>3564</v>
      </c>
      <c r="D445" s="120"/>
      <c r="E445" s="125" t="s">
        <v>162</v>
      </c>
      <c r="F445" s="36"/>
      <c r="G445" s="36"/>
      <c r="H445" s="36"/>
      <c r="I445" s="36"/>
      <c r="J445" s="36"/>
      <c r="K445" s="36"/>
      <c r="L445" s="36"/>
      <c r="M445" s="36"/>
      <c r="N445" s="36"/>
      <c r="O445" s="36"/>
      <c r="P445" s="36"/>
      <c r="Q445" s="36"/>
      <c r="R445" s="119" t="str">
        <f>"バックアップ_"&amp;SUBSTITUTE(C445,"_結合","")</f>
        <v>バックアップ_ICD10中分類マスタ</v>
      </c>
      <c r="S445" s="120"/>
      <c r="T445" s="123" t="str">
        <f>エンティティ一覧!$O$2</f>
        <v>milscm_2023_009</v>
      </c>
    </row>
    <row r="446" spans="2:23" ht="18.75" customHeight="1">
      <c r="C446" s="121"/>
      <c r="D446" s="122"/>
      <c r="E446" s="126"/>
      <c r="F446" s="37"/>
      <c r="G446" s="37"/>
      <c r="H446" s="37"/>
      <c r="I446" s="37"/>
      <c r="J446" s="37"/>
      <c r="K446" s="37"/>
      <c r="L446" s="37"/>
      <c r="M446" s="37"/>
      <c r="N446" s="37"/>
      <c r="O446" s="37"/>
      <c r="P446" s="37"/>
      <c r="Q446" s="37"/>
      <c r="R446" s="121"/>
      <c r="S446" s="122"/>
      <c r="T446" s="124"/>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3565</v>
      </c>
      <c r="D450" s="88"/>
      <c r="W450" s="35" t="str">
        <f>"-- "&amp;B450&amp;" : "&amp;C450</f>
        <v>-- SQL_ID : 01_A3-32</v>
      </c>
    </row>
    <row r="451" spans="2:23" ht="18.75" customHeight="1">
      <c r="B451" s="43" t="s">
        <v>158</v>
      </c>
      <c r="C451" s="127" t="str">
        <f>R454&amp;"登録"</f>
        <v>バックアップ_ICD10小分類マスタ登録</v>
      </c>
      <c r="D451" s="128"/>
      <c r="E451" s="128"/>
      <c r="F451" s="128"/>
      <c r="G451" s="128"/>
      <c r="H451" s="128"/>
      <c r="I451" s="128"/>
      <c r="J451" s="128"/>
      <c r="K451" s="128"/>
      <c r="L451" s="128"/>
      <c r="M451" s="128"/>
      <c r="N451" s="128"/>
      <c r="O451" s="128"/>
      <c r="P451" s="128"/>
      <c r="Q451" s="128"/>
      <c r="R451" s="128"/>
      <c r="S451" s="128"/>
      <c r="T451" s="128"/>
      <c r="U451" s="129"/>
      <c r="W451" s="35" t="str">
        <f>"-- "&amp;C451</f>
        <v>-- バックアップ_ICD10小分類マスタ登録</v>
      </c>
    </row>
    <row r="452" spans="2:23" ht="18.75" customHeight="1">
      <c r="B452" s="43" t="s">
        <v>159</v>
      </c>
      <c r="C452" s="130" t="str">
        <f>C454&amp;"テーブルのレコードを"&amp;R454&amp;"テーブルに格納する。"</f>
        <v>ICD10小分類マスタテーブルのレコードをバックアップ_ICD10小分類マスタテーブルに格納する。</v>
      </c>
      <c r="D452" s="131"/>
      <c r="E452" s="131"/>
      <c r="F452" s="131"/>
      <c r="G452" s="131"/>
      <c r="H452" s="131"/>
      <c r="I452" s="131"/>
      <c r="J452" s="131"/>
      <c r="K452" s="131"/>
      <c r="L452" s="131"/>
      <c r="M452" s="131"/>
      <c r="N452" s="131"/>
      <c r="O452" s="131"/>
      <c r="P452" s="131"/>
      <c r="Q452" s="131"/>
      <c r="R452" s="131"/>
      <c r="S452" s="131"/>
      <c r="T452" s="131"/>
      <c r="U452" s="132"/>
      <c r="W452" s="35" t="str">
        <f>"-- "&amp;C452</f>
        <v>-- ICD10小分類マスタテーブルのレコードをバックアップ_ICD10小分類マスタテーブルに格納する。</v>
      </c>
    </row>
    <row r="454" spans="2:23" ht="18.75" customHeight="1">
      <c r="C454" s="119" t="s">
        <v>3566</v>
      </c>
      <c r="D454" s="120"/>
      <c r="E454" s="125" t="s">
        <v>162</v>
      </c>
      <c r="F454" s="36"/>
      <c r="G454" s="36"/>
      <c r="H454" s="36"/>
      <c r="I454" s="36"/>
      <c r="J454" s="36"/>
      <c r="K454" s="36"/>
      <c r="L454" s="36"/>
      <c r="M454" s="36"/>
      <c r="N454" s="36"/>
      <c r="O454" s="36"/>
      <c r="P454" s="36"/>
      <c r="Q454" s="36"/>
      <c r="R454" s="119" t="str">
        <f>"バックアップ_"&amp;SUBSTITUTE(C454,"_結合","")</f>
        <v>バックアップ_ICD10小分類マスタ</v>
      </c>
      <c r="S454" s="120"/>
      <c r="T454" s="123" t="str">
        <f>エンティティ一覧!$O$2</f>
        <v>milscm_2023_009</v>
      </c>
    </row>
    <row r="455" spans="2:23" ht="18.75" customHeight="1">
      <c r="C455" s="121"/>
      <c r="D455" s="122"/>
      <c r="E455" s="126"/>
      <c r="F455" s="37"/>
      <c r="G455" s="37"/>
      <c r="H455" s="37"/>
      <c r="I455" s="37"/>
      <c r="J455" s="37"/>
      <c r="K455" s="37"/>
      <c r="L455" s="37"/>
      <c r="M455" s="37"/>
      <c r="N455" s="37"/>
      <c r="O455" s="37"/>
      <c r="P455" s="37"/>
      <c r="Q455" s="37"/>
      <c r="R455" s="121"/>
      <c r="S455" s="122"/>
      <c r="T455" s="124"/>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3567</v>
      </c>
      <c r="D459" s="88"/>
      <c r="W459" s="35" t="str">
        <f>"-- "&amp;B459&amp;" : "&amp;C459</f>
        <v>-- SQL_ID : 01_A3-33</v>
      </c>
    </row>
    <row r="460" spans="2:23" ht="18.75" customHeight="1">
      <c r="B460" s="43" t="s">
        <v>158</v>
      </c>
      <c r="C460" s="127" t="str">
        <f>R463&amp;"登録"</f>
        <v>バックアップ_ICD10細分類マスタ登録</v>
      </c>
      <c r="D460" s="128"/>
      <c r="E460" s="128"/>
      <c r="F460" s="128"/>
      <c r="G460" s="128"/>
      <c r="H460" s="128"/>
      <c r="I460" s="128"/>
      <c r="J460" s="128"/>
      <c r="K460" s="128"/>
      <c r="L460" s="128"/>
      <c r="M460" s="128"/>
      <c r="N460" s="128"/>
      <c r="O460" s="128"/>
      <c r="P460" s="128"/>
      <c r="Q460" s="128"/>
      <c r="R460" s="128"/>
      <c r="S460" s="128"/>
      <c r="T460" s="128"/>
      <c r="U460" s="129"/>
      <c r="W460" s="35" t="str">
        <f>"-- "&amp;C460</f>
        <v>-- バックアップ_ICD10細分類マスタ登録</v>
      </c>
    </row>
    <row r="461" spans="2:23" ht="18.75" customHeight="1">
      <c r="B461" s="43" t="s">
        <v>159</v>
      </c>
      <c r="C461" s="130" t="str">
        <f>C463&amp;"テーブルのレコードを"&amp;R463&amp;"テーブルに格納する。"</f>
        <v>ICD10細分類マスタテーブルのレコードをバックアップ_ICD10細分類マスタテーブルに格納する。</v>
      </c>
      <c r="D461" s="131"/>
      <c r="E461" s="131"/>
      <c r="F461" s="131"/>
      <c r="G461" s="131"/>
      <c r="H461" s="131"/>
      <c r="I461" s="131"/>
      <c r="J461" s="131"/>
      <c r="K461" s="131"/>
      <c r="L461" s="131"/>
      <c r="M461" s="131"/>
      <c r="N461" s="131"/>
      <c r="O461" s="131"/>
      <c r="P461" s="131"/>
      <c r="Q461" s="131"/>
      <c r="R461" s="131"/>
      <c r="S461" s="131"/>
      <c r="T461" s="131"/>
      <c r="U461" s="132"/>
      <c r="W461" s="35" t="str">
        <f>"-- "&amp;C461</f>
        <v>-- ICD10細分類マスタテーブルのレコードをバックアップ_ICD10細分類マスタテーブルに格納する。</v>
      </c>
    </row>
    <row r="463" spans="2:23" ht="18.75" customHeight="1">
      <c r="C463" s="119" t="s">
        <v>3568</v>
      </c>
      <c r="D463" s="120"/>
      <c r="E463" s="125" t="s">
        <v>162</v>
      </c>
      <c r="F463" s="36"/>
      <c r="G463" s="36"/>
      <c r="H463" s="36"/>
      <c r="I463" s="36"/>
      <c r="J463" s="36"/>
      <c r="K463" s="36"/>
      <c r="L463" s="36"/>
      <c r="M463" s="36"/>
      <c r="N463" s="36"/>
      <c r="O463" s="36"/>
      <c r="P463" s="36"/>
      <c r="Q463" s="36"/>
      <c r="R463" s="119" t="str">
        <f>"バックアップ_"&amp;SUBSTITUTE(C463,"_結合","")</f>
        <v>バックアップ_ICD10細分類マスタ</v>
      </c>
      <c r="S463" s="120"/>
      <c r="T463" s="123" t="str">
        <f>エンティティ一覧!$O$2</f>
        <v>milscm_2023_009</v>
      </c>
    </row>
    <row r="464" spans="2:23" ht="18.75" customHeight="1">
      <c r="C464" s="121"/>
      <c r="D464" s="122"/>
      <c r="E464" s="126"/>
      <c r="F464" s="37"/>
      <c r="G464" s="37"/>
      <c r="H464" s="37"/>
      <c r="I464" s="37"/>
      <c r="J464" s="37"/>
      <c r="K464" s="37"/>
      <c r="L464" s="37"/>
      <c r="M464" s="37"/>
      <c r="N464" s="37"/>
      <c r="O464" s="37"/>
      <c r="P464" s="37"/>
      <c r="Q464" s="37"/>
      <c r="R464" s="121"/>
      <c r="S464" s="122"/>
      <c r="T464" s="124"/>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3569</v>
      </c>
      <c r="D468" s="88"/>
      <c r="W468" s="35" t="str">
        <f>"-- "&amp;B468&amp;" : "&amp;C468</f>
        <v>-- SQL_ID : 01_A3-34</v>
      </c>
    </row>
    <row r="469" spans="2:23" ht="18.75" customHeight="1">
      <c r="B469" s="43" t="s">
        <v>158</v>
      </c>
      <c r="C469" s="127" t="str">
        <f>R472&amp;"登録"</f>
        <v>バックアップ_DPC2桁マスタ登録</v>
      </c>
      <c r="D469" s="128"/>
      <c r="E469" s="128"/>
      <c r="F469" s="128"/>
      <c r="G469" s="128"/>
      <c r="H469" s="128"/>
      <c r="I469" s="128"/>
      <c r="J469" s="128"/>
      <c r="K469" s="128"/>
      <c r="L469" s="128"/>
      <c r="M469" s="128"/>
      <c r="N469" s="128"/>
      <c r="O469" s="128"/>
      <c r="P469" s="128"/>
      <c r="Q469" s="128"/>
      <c r="R469" s="128"/>
      <c r="S469" s="128"/>
      <c r="T469" s="128"/>
      <c r="U469" s="129"/>
      <c r="W469" s="35" t="str">
        <f>"-- "&amp;C469</f>
        <v>-- バックアップ_DPC2桁マスタ登録</v>
      </c>
    </row>
    <row r="470" spans="2:23" ht="18.75" customHeight="1">
      <c r="B470" s="43" t="s">
        <v>159</v>
      </c>
      <c r="C470" s="130" t="str">
        <f>C472&amp;"テーブルのレコードを"&amp;R472&amp;"テーブルに格納する。"</f>
        <v>DPC2桁マスタテーブルのレコードをバックアップ_DPC2桁マスタテーブルに格納する。</v>
      </c>
      <c r="D470" s="131"/>
      <c r="E470" s="131"/>
      <c r="F470" s="131"/>
      <c r="G470" s="131"/>
      <c r="H470" s="131"/>
      <c r="I470" s="131"/>
      <c r="J470" s="131"/>
      <c r="K470" s="131"/>
      <c r="L470" s="131"/>
      <c r="M470" s="131"/>
      <c r="N470" s="131"/>
      <c r="O470" s="131"/>
      <c r="P470" s="131"/>
      <c r="Q470" s="131"/>
      <c r="R470" s="131"/>
      <c r="S470" s="131"/>
      <c r="T470" s="131"/>
      <c r="U470" s="132"/>
      <c r="W470" s="35" t="str">
        <f>"-- "&amp;C470</f>
        <v>-- DPC2桁マスタテーブルのレコードをバックアップ_DPC2桁マスタテーブルに格納する。</v>
      </c>
    </row>
    <row r="472" spans="2:23" ht="18.75" customHeight="1">
      <c r="C472" s="119" t="s">
        <v>3570</v>
      </c>
      <c r="D472" s="120"/>
      <c r="E472" s="125" t="s">
        <v>162</v>
      </c>
      <c r="F472" s="36"/>
      <c r="G472" s="36"/>
      <c r="H472" s="36"/>
      <c r="I472" s="36"/>
      <c r="J472" s="36"/>
      <c r="K472" s="36"/>
      <c r="L472" s="36"/>
      <c r="M472" s="36"/>
      <c r="N472" s="36"/>
      <c r="O472" s="36"/>
      <c r="P472" s="36"/>
      <c r="Q472" s="36"/>
      <c r="R472" s="119" t="str">
        <f>"バックアップ_"&amp;SUBSTITUTE(C472,"_結合","")</f>
        <v>バックアップ_DPC2桁マスタ</v>
      </c>
      <c r="S472" s="120"/>
      <c r="T472" s="123" t="str">
        <f>エンティティ一覧!$O$2</f>
        <v>milscm_2023_009</v>
      </c>
    </row>
    <row r="473" spans="2:23" ht="18.75" customHeight="1">
      <c r="C473" s="121"/>
      <c r="D473" s="122"/>
      <c r="E473" s="126"/>
      <c r="F473" s="37"/>
      <c r="G473" s="37"/>
      <c r="H473" s="37"/>
      <c r="I473" s="37"/>
      <c r="J473" s="37"/>
      <c r="K473" s="37"/>
      <c r="L473" s="37"/>
      <c r="M473" s="37"/>
      <c r="N473" s="37"/>
      <c r="O473" s="37"/>
      <c r="P473" s="37"/>
      <c r="Q473" s="37"/>
      <c r="R473" s="121"/>
      <c r="S473" s="122"/>
      <c r="T473" s="124"/>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3571</v>
      </c>
      <c r="D477" s="88"/>
      <c r="W477" s="35" t="str">
        <f>"-- "&amp;B477&amp;" : "&amp;C477</f>
        <v>-- SQL_ID : 01_A3-35</v>
      </c>
    </row>
    <row r="478" spans="2:23" ht="18.75" customHeight="1">
      <c r="B478" s="43" t="s">
        <v>158</v>
      </c>
      <c r="C478" s="127" t="str">
        <f>R481&amp;"登録"</f>
        <v>バックアップ_DPC6桁マスタ登録</v>
      </c>
      <c r="D478" s="128"/>
      <c r="E478" s="128"/>
      <c r="F478" s="128"/>
      <c r="G478" s="128"/>
      <c r="H478" s="128"/>
      <c r="I478" s="128"/>
      <c r="J478" s="128"/>
      <c r="K478" s="128"/>
      <c r="L478" s="128"/>
      <c r="M478" s="128"/>
      <c r="N478" s="128"/>
      <c r="O478" s="128"/>
      <c r="P478" s="128"/>
      <c r="Q478" s="128"/>
      <c r="R478" s="128"/>
      <c r="S478" s="128"/>
      <c r="T478" s="128"/>
      <c r="U478" s="129"/>
      <c r="W478" s="35" t="str">
        <f>"-- "&amp;C478</f>
        <v>-- バックアップ_DPC6桁マスタ登録</v>
      </c>
    </row>
    <row r="479" spans="2:23" ht="18.75" customHeight="1">
      <c r="B479" s="43" t="s">
        <v>159</v>
      </c>
      <c r="C479" s="130" t="str">
        <f>C481&amp;"テーブルのレコードを"&amp;R481&amp;"テーブルに格納する。"</f>
        <v>DPC6桁マスタテーブルのレコードをバックアップ_DPC6桁マスタテーブルに格納する。</v>
      </c>
      <c r="D479" s="131"/>
      <c r="E479" s="131"/>
      <c r="F479" s="131"/>
      <c r="G479" s="131"/>
      <c r="H479" s="131"/>
      <c r="I479" s="131"/>
      <c r="J479" s="131"/>
      <c r="K479" s="131"/>
      <c r="L479" s="131"/>
      <c r="M479" s="131"/>
      <c r="N479" s="131"/>
      <c r="O479" s="131"/>
      <c r="P479" s="131"/>
      <c r="Q479" s="131"/>
      <c r="R479" s="131"/>
      <c r="S479" s="131"/>
      <c r="T479" s="131"/>
      <c r="U479" s="132"/>
      <c r="W479" s="35" t="str">
        <f>"-- "&amp;C479</f>
        <v>-- DPC6桁マスタテーブルのレコードをバックアップ_DPC6桁マスタテーブルに格納する。</v>
      </c>
    </row>
    <row r="481" spans="2:23" ht="18.75" customHeight="1">
      <c r="C481" s="119" t="s">
        <v>3572</v>
      </c>
      <c r="D481" s="120"/>
      <c r="E481" s="125" t="s">
        <v>162</v>
      </c>
      <c r="F481" s="36"/>
      <c r="G481" s="36"/>
      <c r="H481" s="36"/>
      <c r="I481" s="36"/>
      <c r="J481" s="36"/>
      <c r="K481" s="36"/>
      <c r="L481" s="36"/>
      <c r="M481" s="36"/>
      <c r="N481" s="36"/>
      <c r="O481" s="36"/>
      <c r="P481" s="36"/>
      <c r="Q481" s="36"/>
      <c r="R481" s="119" t="str">
        <f>"バックアップ_"&amp;SUBSTITUTE(C481,"_結合","")</f>
        <v>バックアップ_DPC6桁マスタ</v>
      </c>
      <c r="S481" s="120"/>
      <c r="T481" s="123" t="str">
        <f>エンティティ一覧!$O$2</f>
        <v>milscm_2023_009</v>
      </c>
    </row>
    <row r="482" spans="2:23" ht="18.75" customHeight="1">
      <c r="C482" s="121"/>
      <c r="D482" s="122"/>
      <c r="E482" s="126"/>
      <c r="F482" s="37"/>
      <c r="G482" s="37"/>
      <c r="H482" s="37"/>
      <c r="I482" s="37"/>
      <c r="J482" s="37"/>
      <c r="K482" s="37"/>
      <c r="L482" s="37"/>
      <c r="M482" s="37"/>
      <c r="N482" s="37"/>
      <c r="O482" s="37"/>
      <c r="P482" s="37"/>
      <c r="Q482" s="37"/>
      <c r="R482" s="121"/>
      <c r="S482" s="122"/>
      <c r="T482" s="124"/>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3573</v>
      </c>
      <c r="D486" s="88"/>
      <c r="W486" s="35" t="str">
        <f>"-- "&amp;B486&amp;" : "&amp;C486</f>
        <v>-- SQL_ID : 01_A3-36</v>
      </c>
    </row>
    <row r="487" spans="2:23" ht="18.75" customHeight="1">
      <c r="B487" s="43" t="s">
        <v>158</v>
      </c>
      <c r="C487" s="127" t="str">
        <f>R490&amp;"登録"</f>
        <v>バックアップ_郵便番号マスタ登録</v>
      </c>
      <c r="D487" s="128"/>
      <c r="E487" s="128"/>
      <c r="F487" s="128"/>
      <c r="G487" s="128"/>
      <c r="H487" s="128"/>
      <c r="I487" s="128"/>
      <c r="J487" s="128"/>
      <c r="K487" s="128"/>
      <c r="L487" s="128"/>
      <c r="M487" s="128"/>
      <c r="N487" s="128"/>
      <c r="O487" s="128"/>
      <c r="P487" s="128"/>
      <c r="Q487" s="128"/>
      <c r="R487" s="128"/>
      <c r="S487" s="128"/>
      <c r="T487" s="128"/>
      <c r="U487" s="129"/>
      <c r="W487" s="35" t="str">
        <f>"-- "&amp;C487</f>
        <v>-- バックアップ_郵便番号マスタ登録</v>
      </c>
    </row>
    <row r="488" spans="2:23" ht="18.75" customHeight="1">
      <c r="B488" s="43" t="s">
        <v>159</v>
      </c>
      <c r="C488" s="130" t="str">
        <f>C490&amp;"テーブルのレコードを"&amp;R490&amp;"テーブルに格納する。"</f>
        <v>郵便番号マスタテーブルのレコードをバックアップ_郵便番号マスタテーブルに格納する。</v>
      </c>
      <c r="D488" s="131"/>
      <c r="E488" s="131"/>
      <c r="F488" s="131"/>
      <c r="G488" s="131"/>
      <c r="H488" s="131"/>
      <c r="I488" s="131"/>
      <c r="J488" s="131"/>
      <c r="K488" s="131"/>
      <c r="L488" s="131"/>
      <c r="M488" s="131"/>
      <c r="N488" s="131"/>
      <c r="O488" s="131"/>
      <c r="P488" s="131"/>
      <c r="Q488" s="131"/>
      <c r="R488" s="131"/>
      <c r="S488" s="131"/>
      <c r="T488" s="131"/>
      <c r="U488" s="132"/>
      <c r="W488" s="35" t="str">
        <f>"-- "&amp;C488</f>
        <v>-- 郵便番号マスタテーブルのレコードをバックアップ_郵便番号マスタテーブルに格納する。</v>
      </c>
    </row>
    <row r="490" spans="2:23" ht="18.75" customHeight="1">
      <c r="C490" s="119" t="s">
        <v>3574</v>
      </c>
      <c r="D490" s="120"/>
      <c r="E490" s="125" t="s">
        <v>162</v>
      </c>
      <c r="F490" s="36"/>
      <c r="G490" s="36"/>
      <c r="H490" s="36"/>
      <c r="I490" s="36"/>
      <c r="J490" s="36"/>
      <c r="K490" s="36"/>
      <c r="L490" s="36"/>
      <c r="M490" s="36"/>
      <c r="N490" s="36"/>
      <c r="O490" s="36"/>
      <c r="P490" s="36"/>
      <c r="Q490" s="36"/>
      <c r="R490" s="119" t="str">
        <f>"バックアップ_"&amp;SUBSTITUTE(C490,"_結合","")</f>
        <v>バックアップ_郵便番号マスタ</v>
      </c>
      <c r="S490" s="120"/>
      <c r="T490" s="123" t="str">
        <f>エンティティ一覧!$O$2</f>
        <v>milscm_2023_009</v>
      </c>
    </row>
    <row r="491" spans="2:23" ht="18.75" customHeight="1">
      <c r="C491" s="121"/>
      <c r="D491" s="122"/>
      <c r="E491" s="126"/>
      <c r="F491" s="37"/>
      <c r="G491" s="37"/>
      <c r="H491" s="37"/>
      <c r="I491" s="37"/>
      <c r="J491" s="37"/>
      <c r="K491" s="37"/>
      <c r="L491" s="37"/>
      <c r="M491" s="37"/>
      <c r="N491" s="37"/>
      <c r="O491" s="37"/>
      <c r="P491" s="37"/>
      <c r="Q491" s="37"/>
      <c r="R491" s="121"/>
      <c r="S491" s="122"/>
      <c r="T491" s="124"/>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3575</v>
      </c>
      <c r="D495" s="88"/>
      <c r="W495" s="35" t="str">
        <f>"-- "&amp;B495&amp;" : "&amp;C495</f>
        <v>-- SQL_ID : 01_A3-37</v>
      </c>
    </row>
    <row r="496" spans="2:23" ht="18.75" customHeight="1">
      <c r="B496" s="43" t="s">
        <v>158</v>
      </c>
      <c r="C496" s="127" t="str">
        <f>R499&amp;"登録"</f>
        <v>バックアップ_特定機材マスタ登録</v>
      </c>
      <c r="D496" s="128"/>
      <c r="E496" s="128"/>
      <c r="F496" s="128"/>
      <c r="G496" s="128"/>
      <c r="H496" s="128"/>
      <c r="I496" s="128"/>
      <c r="J496" s="128"/>
      <c r="K496" s="128"/>
      <c r="L496" s="128"/>
      <c r="M496" s="128"/>
      <c r="N496" s="128"/>
      <c r="O496" s="128"/>
      <c r="P496" s="128"/>
      <c r="Q496" s="128"/>
      <c r="R496" s="128"/>
      <c r="S496" s="128"/>
      <c r="T496" s="128"/>
      <c r="U496" s="129"/>
      <c r="W496" s="35" t="str">
        <f>"-- "&amp;C496</f>
        <v>-- バックアップ_特定機材マスタ登録</v>
      </c>
    </row>
    <row r="497" spans="2:23" ht="18.75" customHeight="1">
      <c r="B497" s="43" t="s">
        <v>159</v>
      </c>
      <c r="C497" s="130" t="str">
        <f>C499&amp;"テーブルのレコードを"&amp;R499&amp;"テーブルに格納する。"</f>
        <v>特定機材マスタテーブルのレコードをバックアップ_特定機材マスタテーブルに格納する。</v>
      </c>
      <c r="D497" s="131"/>
      <c r="E497" s="131"/>
      <c r="F497" s="131"/>
      <c r="G497" s="131"/>
      <c r="H497" s="131"/>
      <c r="I497" s="131"/>
      <c r="J497" s="131"/>
      <c r="K497" s="131"/>
      <c r="L497" s="131"/>
      <c r="M497" s="131"/>
      <c r="N497" s="131"/>
      <c r="O497" s="131"/>
      <c r="P497" s="131"/>
      <c r="Q497" s="131"/>
      <c r="R497" s="131"/>
      <c r="S497" s="131"/>
      <c r="T497" s="131"/>
      <c r="U497" s="132"/>
      <c r="W497" s="35" t="str">
        <f>"-- "&amp;C497</f>
        <v>-- 特定機材マスタテーブルのレコードをバックアップ_特定機材マスタテーブルに格納する。</v>
      </c>
    </row>
    <row r="499" spans="2:23" ht="18.75" customHeight="1">
      <c r="C499" s="119" t="s">
        <v>3576</v>
      </c>
      <c r="D499" s="120"/>
      <c r="E499" s="125" t="s">
        <v>162</v>
      </c>
      <c r="F499" s="36"/>
      <c r="G499" s="36"/>
      <c r="H499" s="36"/>
      <c r="I499" s="36"/>
      <c r="J499" s="36"/>
      <c r="K499" s="36"/>
      <c r="L499" s="36"/>
      <c r="M499" s="36"/>
      <c r="N499" s="36"/>
      <c r="O499" s="36"/>
      <c r="P499" s="36"/>
      <c r="Q499" s="36"/>
      <c r="R499" s="119" t="str">
        <f>"バックアップ_"&amp;SUBSTITUTE(C499,"_結合","")</f>
        <v>バックアップ_特定機材マスタ</v>
      </c>
      <c r="S499" s="120"/>
      <c r="T499" s="123" t="str">
        <f>エンティティ一覧!$O$2</f>
        <v>milscm_2023_009</v>
      </c>
    </row>
    <row r="500" spans="2:23" ht="18.75" customHeight="1">
      <c r="C500" s="121"/>
      <c r="D500" s="122"/>
      <c r="E500" s="126"/>
      <c r="F500" s="37"/>
      <c r="G500" s="37"/>
      <c r="H500" s="37"/>
      <c r="I500" s="37"/>
      <c r="J500" s="37"/>
      <c r="K500" s="37"/>
      <c r="L500" s="37"/>
      <c r="M500" s="37"/>
      <c r="N500" s="37"/>
      <c r="O500" s="37"/>
      <c r="P500" s="37"/>
      <c r="Q500" s="37"/>
      <c r="R500" s="121"/>
      <c r="S500" s="122"/>
      <c r="T500" s="124"/>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3577</v>
      </c>
      <c r="D504" s="88"/>
      <c r="W504" s="35" t="str">
        <f>"-- "&amp;B504&amp;" : "&amp;C504</f>
        <v>-- SQL_ID : 01_A4-01</v>
      </c>
    </row>
    <row r="505" spans="2:23" ht="18.75" customHeight="1">
      <c r="B505" s="43" t="s">
        <v>158</v>
      </c>
      <c r="C505" s="127" t="str">
        <f>R508&amp;"登録"</f>
        <v>バックアップ_年度マスタ登録</v>
      </c>
      <c r="D505" s="128"/>
      <c r="E505" s="128"/>
      <c r="F505" s="128"/>
      <c r="G505" s="128"/>
      <c r="H505" s="128"/>
      <c r="I505" s="128"/>
      <c r="J505" s="128"/>
      <c r="K505" s="128"/>
      <c r="L505" s="128"/>
      <c r="M505" s="128"/>
      <c r="N505" s="128"/>
      <c r="O505" s="128"/>
      <c r="P505" s="128"/>
      <c r="Q505" s="128"/>
      <c r="R505" s="128"/>
      <c r="S505" s="128"/>
      <c r="T505" s="128"/>
      <c r="U505" s="129"/>
      <c r="W505" s="35" t="str">
        <f>"-- "&amp;C505</f>
        <v>-- バックアップ_年度マスタ登録</v>
      </c>
    </row>
    <row r="506" spans="2:23" ht="18.75" customHeight="1">
      <c r="B506" s="43" t="s">
        <v>159</v>
      </c>
      <c r="C506" s="130" t="str">
        <f>C508&amp;"テーブルのレコードを"&amp;R508&amp;"テーブルに格納する。"</f>
        <v>年度マスタテーブルのレコードをバックアップ_年度マスタテーブルに格納する。</v>
      </c>
      <c r="D506" s="131"/>
      <c r="E506" s="131"/>
      <c r="F506" s="131"/>
      <c r="G506" s="131"/>
      <c r="H506" s="131"/>
      <c r="I506" s="131"/>
      <c r="J506" s="131"/>
      <c r="K506" s="131"/>
      <c r="L506" s="131"/>
      <c r="M506" s="131"/>
      <c r="N506" s="131"/>
      <c r="O506" s="131"/>
      <c r="P506" s="131"/>
      <c r="Q506" s="131"/>
      <c r="R506" s="131"/>
      <c r="S506" s="131"/>
      <c r="T506" s="131"/>
      <c r="U506" s="132"/>
      <c r="W506" s="35" t="str">
        <f>"-- "&amp;C506</f>
        <v>-- 年度マスタテーブルのレコードをバックアップ_年度マスタテーブルに格納する。</v>
      </c>
    </row>
    <row r="508" spans="2:23" ht="18.75" customHeight="1">
      <c r="C508" s="119" t="s">
        <v>3578</v>
      </c>
      <c r="D508" s="120"/>
      <c r="E508" s="125" t="s">
        <v>162</v>
      </c>
      <c r="F508" s="36"/>
      <c r="G508" s="36"/>
      <c r="H508" s="36"/>
      <c r="I508" s="36"/>
      <c r="J508" s="36"/>
      <c r="K508" s="36"/>
      <c r="L508" s="36"/>
      <c r="M508" s="36"/>
      <c r="N508" s="36"/>
      <c r="O508" s="36"/>
      <c r="P508" s="36"/>
      <c r="Q508" s="36"/>
      <c r="R508" s="119" t="str">
        <f>"バックアップ_"&amp;SUBSTITUTE(C508,"_結合","")</f>
        <v>バックアップ_年度マスタ</v>
      </c>
      <c r="S508" s="120"/>
      <c r="T508" s="123" t="str">
        <f>エンティティ一覧!$O$2</f>
        <v>milscm_2023_009</v>
      </c>
    </row>
    <row r="509" spans="2:23" ht="18.75" customHeight="1">
      <c r="C509" s="121"/>
      <c r="D509" s="122"/>
      <c r="E509" s="126"/>
      <c r="F509" s="37"/>
      <c r="G509" s="37"/>
      <c r="H509" s="37"/>
      <c r="I509" s="37"/>
      <c r="J509" s="37"/>
      <c r="K509" s="37"/>
      <c r="L509" s="37"/>
      <c r="M509" s="37"/>
      <c r="N509" s="37"/>
      <c r="O509" s="37"/>
      <c r="P509" s="37"/>
      <c r="Q509" s="37"/>
      <c r="R509" s="121"/>
      <c r="S509" s="122"/>
      <c r="T509" s="124"/>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3579</v>
      </c>
      <c r="D513" s="88"/>
      <c r="W513" s="35" t="str">
        <f>"-- "&amp;B513&amp;" : "&amp;C513</f>
        <v>-- SQL_ID : 01_A4-02</v>
      </c>
    </row>
    <row r="514" spans="2:23" ht="18.75" customHeight="1">
      <c r="B514" s="43" t="s">
        <v>158</v>
      </c>
      <c r="C514" s="127" t="str">
        <f>R517&amp;"登録"</f>
        <v>バックアップ_都道府県地方コードマスタ登録</v>
      </c>
      <c r="D514" s="128"/>
      <c r="E514" s="128"/>
      <c r="F514" s="128"/>
      <c r="G514" s="128"/>
      <c r="H514" s="128"/>
      <c r="I514" s="128"/>
      <c r="J514" s="128"/>
      <c r="K514" s="128"/>
      <c r="L514" s="128"/>
      <c r="M514" s="128"/>
      <c r="N514" s="128"/>
      <c r="O514" s="128"/>
      <c r="P514" s="128"/>
      <c r="Q514" s="128"/>
      <c r="R514" s="128"/>
      <c r="S514" s="128"/>
      <c r="T514" s="128"/>
      <c r="U514" s="129"/>
      <c r="W514" s="35" t="str">
        <f>"-- "&amp;C514</f>
        <v>-- バックアップ_都道府県地方コードマスタ登録</v>
      </c>
    </row>
    <row r="515" spans="2:23" ht="18.75" customHeight="1">
      <c r="B515" s="43" t="s">
        <v>159</v>
      </c>
      <c r="C515" s="130" t="str">
        <f>C517&amp;"テーブルのレコードを"&amp;R517&amp;"テーブルに格納する。"</f>
        <v>都道府県地方コードマスタテーブルのレコードをバックアップ_都道府県地方コードマスタテーブルに格納する。</v>
      </c>
      <c r="D515" s="131"/>
      <c r="E515" s="131"/>
      <c r="F515" s="131"/>
      <c r="G515" s="131"/>
      <c r="H515" s="131"/>
      <c r="I515" s="131"/>
      <c r="J515" s="131"/>
      <c r="K515" s="131"/>
      <c r="L515" s="131"/>
      <c r="M515" s="131"/>
      <c r="N515" s="131"/>
      <c r="O515" s="131"/>
      <c r="P515" s="131"/>
      <c r="Q515" s="131"/>
      <c r="R515" s="131"/>
      <c r="S515" s="131"/>
      <c r="T515" s="131"/>
      <c r="U515" s="132"/>
      <c r="W515" s="35" t="str">
        <f>"-- "&amp;C515</f>
        <v>-- 都道府県地方コードマスタテーブルのレコードをバックアップ_都道府県地方コードマスタテーブルに格納する。</v>
      </c>
    </row>
    <row r="517" spans="2:23" ht="18.75" customHeight="1">
      <c r="C517" s="119" t="s">
        <v>3580</v>
      </c>
      <c r="D517" s="120"/>
      <c r="E517" s="125" t="s">
        <v>162</v>
      </c>
      <c r="F517" s="36"/>
      <c r="G517" s="36"/>
      <c r="H517" s="36"/>
      <c r="I517" s="36"/>
      <c r="J517" s="36"/>
      <c r="K517" s="36"/>
      <c r="L517" s="36"/>
      <c r="M517" s="36"/>
      <c r="N517" s="36"/>
      <c r="O517" s="36"/>
      <c r="P517" s="36"/>
      <c r="Q517" s="36"/>
      <c r="R517" s="119" t="str">
        <f>"バックアップ_"&amp;SUBSTITUTE(C517,"_結合","")</f>
        <v>バックアップ_都道府県地方コードマスタ</v>
      </c>
      <c r="S517" s="120"/>
      <c r="T517" s="123" t="str">
        <f>エンティティ一覧!$O$2</f>
        <v>milscm_2023_009</v>
      </c>
    </row>
    <row r="518" spans="2:23" ht="18.75" customHeight="1">
      <c r="C518" s="121"/>
      <c r="D518" s="122"/>
      <c r="E518" s="126"/>
      <c r="F518" s="37"/>
      <c r="G518" s="37"/>
      <c r="H518" s="37"/>
      <c r="I518" s="37"/>
      <c r="J518" s="37"/>
      <c r="K518" s="37"/>
      <c r="L518" s="37"/>
      <c r="M518" s="37"/>
      <c r="N518" s="37"/>
      <c r="O518" s="37"/>
      <c r="P518" s="37"/>
      <c r="Q518" s="37"/>
      <c r="R518" s="121"/>
      <c r="S518" s="122"/>
      <c r="T518" s="124"/>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3581</v>
      </c>
      <c r="D522" s="88"/>
      <c r="W522" s="35" t="str">
        <f>"-- "&amp;B522&amp;" : "&amp;C522</f>
        <v>-- SQL_ID : 01_A4-03</v>
      </c>
    </row>
    <row r="523" spans="2:23" ht="18.75" customHeight="1">
      <c r="B523" s="43" t="s">
        <v>158</v>
      </c>
      <c r="C523" s="127" t="str">
        <f>R526&amp;"登録"</f>
        <v>バックアップ_施設属性マスタ登録</v>
      </c>
      <c r="D523" s="128"/>
      <c r="E523" s="128"/>
      <c r="F523" s="128"/>
      <c r="G523" s="128"/>
      <c r="H523" s="128"/>
      <c r="I523" s="128"/>
      <c r="J523" s="128"/>
      <c r="K523" s="128"/>
      <c r="L523" s="128"/>
      <c r="M523" s="128"/>
      <c r="N523" s="128"/>
      <c r="O523" s="128"/>
      <c r="P523" s="128"/>
      <c r="Q523" s="128"/>
      <c r="R523" s="128"/>
      <c r="S523" s="128"/>
      <c r="T523" s="128"/>
      <c r="U523" s="129"/>
      <c r="W523" s="35" t="str">
        <f>"-- "&amp;C523</f>
        <v>-- バックアップ_施設属性マスタ登録</v>
      </c>
    </row>
    <row r="524" spans="2:23" ht="18.75" customHeight="1">
      <c r="B524" s="43" t="s">
        <v>159</v>
      </c>
      <c r="C524" s="130" t="str">
        <f>C526&amp;"テーブルのレコードを"&amp;R526&amp;"テーブルに格納する。"</f>
        <v>施設属性マスタテーブルのレコードをバックアップ_施設属性マスタテーブルに格納する。</v>
      </c>
      <c r="D524" s="131"/>
      <c r="E524" s="131"/>
      <c r="F524" s="131"/>
      <c r="G524" s="131"/>
      <c r="H524" s="131"/>
      <c r="I524" s="131"/>
      <c r="J524" s="131"/>
      <c r="K524" s="131"/>
      <c r="L524" s="131"/>
      <c r="M524" s="131"/>
      <c r="N524" s="131"/>
      <c r="O524" s="131"/>
      <c r="P524" s="131"/>
      <c r="Q524" s="131"/>
      <c r="R524" s="131"/>
      <c r="S524" s="131"/>
      <c r="T524" s="131"/>
      <c r="U524" s="132"/>
      <c r="W524" s="35" t="str">
        <f>"-- "&amp;C524</f>
        <v>-- 施設属性マスタテーブルのレコードをバックアップ_施設属性マスタテーブルに格納する。</v>
      </c>
    </row>
    <row r="526" spans="2:23" ht="18.75" customHeight="1">
      <c r="C526" s="119" t="s">
        <v>3582</v>
      </c>
      <c r="D526" s="120"/>
      <c r="E526" s="125" t="s">
        <v>162</v>
      </c>
      <c r="F526" s="36"/>
      <c r="G526" s="36"/>
      <c r="H526" s="36"/>
      <c r="I526" s="36"/>
      <c r="J526" s="36"/>
      <c r="K526" s="36"/>
      <c r="L526" s="36"/>
      <c r="M526" s="36"/>
      <c r="N526" s="36"/>
      <c r="O526" s="36"/>
      <c r="P526" s="36"/>
      <c r="Q526" s="36"/>
      <c r="R526" s="119" t="str">
        <f>"バックアップ_"&amp;SUBSTITUTE(C526,"_結合","")</f>
        <v>バックアップ_施設属性マスタ</v>
      </c>
      <c r="S526" s="120"/>
      <c r="T526" s="123" t="str">
        <f>エンティティ一覧!$O$2</f>
        <v>milscm_2023_009</v>
      </c>
    </row>
    <row r="527" spans="2:23" ht="18.75" customHeight="1">
      <c r="C527" s="121"/>
      <c r="D527" s="122"/>
      <c r="E527" s="126"/>
      <c r="F527" s="37"/>
      <c r="G527" s="37"/>
      <c r="H527" s="37"/>
      <c r="I527" s="37"/>
      <c r="J527" s="37"/>
      <c r="K527" s="37"/>
      <c r="L527" s="37"/>
      <c r="M527" s="37"/>
      <c r="N527" s="37"/>
      <c r="O527" s="37"/>
      <c r="P527" s="37"/>
      <c r="Q527" s="37"/>
      <c r="R527" s="121"/>
      <c r="S527" s="122"/>
      <c r="T527" s="124"/>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3583</v>
      </c>
      <c r="D531" s="88"/>
      <c r="W531" s="35" t="str">
        <f>"-- "&amp;B531&amp;" : "&amp;C531</f>
        <v>-- SQL_ID : 01_A4-04</v>
      </c>
    </row>
    <row r="532" spans="2:23" ht="18.75" customHeight="1">
      <c r="B532" s="43" t="s">
        <v>158</v>
      </c>
      <c r="C532" s="127" t="str">
        <f>R535&amp;"登録"</f>
        <v>バックアップ_二次医療圏マスタ登録</v>
      </c>
      <c r="D532" s="128"/>
      <c r="E532" s="128"/>
      <c r="F532" s="128"/>
      <c r="G532" s="128"/>
      <c r="H532" s="128"/>
      <c r="I532" s="128"/>
      <c r="J532" s="128"/>
      <c r="K532" s="128"/>
      <c r="L532" s="128"/>
      <c r="M532" s="128"/>
      <c r="N532" s="128"/>
      <c r="O532" s="128"/>
      <c r="P532" s="128"/>
      <c r="Q532" s="128"/>
      <c r="R532" s="128"/>
      <c r="S532" s="128"/>
      <c r="T532" s="128"/>
      <c r="U532" s="129"/>
      <c r="W532" s="35" t="str">
        <f>"-- "&amp;C532</f>
        <v>-- バックアップ_二次医療圏マスタ登録</v>
      </c>
    </row>
    <row r="533" spans="2:23" ht="18.75" customHeight="1">
      <c r="B533" s="43" t="s">
        <v>159</v>
      </c>
      <c r="C533" s="130" t="str">
        <f>C535&amp;"テーブルのレコードを"&amp;R535&amp;"テーブルに格納する。"</f>
        <v>二次医療圏マスタテーブルのレコードをバックアップ_二次医療圏マスタテーブルに格納する。</v>
      </c>
      <c r="D533" s="131"/>
      <c r="E533" s="131"/>
      <c r="F533" s="131"/>
      <c r="G533" s="131"/>
      <c r="H533" s="131"/>
      <c r="I533" s="131"/>
      <c r="J533" s="131"/>
      <c r="K533" s="131"/>
      <c r="L533" s="131"/>
      <c r="M533" s="131"/>
      <c r="N533" s="131"/>
      <c r="O533" s="131"/>
      <c r="P533" s="131"/>
      <c r="Q533" s="131"/>
      <c r="R533" s="131"/>
      <c r="S533" s="131"/>
      <c r="T533" s="131"/>
      <c r="U533" s="132"/>
      <c r="W533" s="35" t="str">
        <f>"-- "&amp;C533</f>
        <v>-- 二次医療圏マスタテーブルのレコードをバックアップ_二次医療圏マスタテーブルに格納する。</v>
      </c>
    </row>
    <row r="535" spans="2:23" ht="18.75" customHeight="1">
      <c r="C535" s="119" t="s">
        <v>3584</v>
      </c>
      <c r="D535" s="120"/>
      <c r="E535" s="125" t="s">
        <v>162</v>
      </c>
      <c r="F535" s="36"/>
      <c r="G535" s="36"/>
      <c r="H535" s="36"/>
      <c r="I535" s="36"/>
      <c r="J535" s="36"/>
      <c r="K535" s="36"/>
      <c r="L535" s="36"/>
      <c r="M535" s="36"/>
      <c r="N535" s="36"/>
      <c r="O535" s="36"/>
      <c r="P535" s="36"/>
      <c r="Q535" s="36"/>
      <c r="R535" s="119" t="str">
        <f>"バックアップ_"&amp;SUBSTITUTE(C535,"_結合","")</f>
        <v>バックアップ_二次医療圏マスタ</v>
      </c>
      <c r="S535" s="120"/>
      <c r="T535" s="123" t="str">
        <f>エンティティ一覧!$O$2</f>
        <v>milscm_2023_009</v>
      </c>
    </row>
    <row r="536" spans="2:23" ht="18.75" customHeight="1">
      <c r="C536" s="121"/>
      <c r="D536" s="122"/>
      <c r="E536" s="126"/>
      <c r="F536" s="37"/>
      <c r="G536" s="37"/>
      <c r="H536" s="37"/>
      <c r="I536" s="37"/>
      <c r="J536" s="37"/>
      <c r="K536" s="37"/>
      <c r="L536" s="37"/>
      <c r="M536" s="37"/>
      <c r="N536" s="37"/>
      <c r="O536" s="37"/>
      <c r="P536" s="37"/>
      <c r="Q536" s="37"/>
      <c r="R536" s="121"/>
      <c r="S536" s="122"/>
      <c r="T536" s="124"/>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3585</v>
      </c>
      <c r="D540" s="88"/>
      <c r="W540" s="35" t="str">
        <f>"-- "&amp;B540&amp;" : "&amp;C540</f>
        <v>-- SQL_ID : 01_A4-05</v>
      </c>
    </row>
    <row r="541" spans="2:23" ht="18.75" customHeight="1">
      <c r="B541" s="43" t="s">
        <v>158</v>
      </c>
      <c r="C541" s="127" t="str">
        <f>R544&amp;"登録"</f>
        <v>バックアップ_施設ID対応マスタ登録</v>
      </c>
      <c r="D541" s="128"/>
      <c r="E541" s="128"/>
      <c r="F541" s="128"/>
      <c r="G541" s="128"/>
      <c r="H541" s="128"/>
      <c r="I541" s="128"/>
      <c r="J541" s="128"/>
      <c r="K541" s="128"/>
      <c r="L541" s="128"/>
      <c r="M541" s="128"/>
      <c r="N541" s="128"/>
      <c r="O541" s="128"/>
      <c r="P541" s="128"/>
      <c r="Q541" s="128"/>
      <c r="R541" s="128"/>
      <c r="S541" s="128"/>
      <c r="T541" s="128"/>
      <c r="U541" s="129"/>
      <c r="W541" s="35" t="str">
        <f>"-- "&amp;C541</f>
        <v>-- バックアップ_施設ID対応マスタ登録</v>
      </c>
    </row>
    <row r="542" spans="2:23" ht="18.75" customHeight="1">
      <c r="B542" s="43" t="s">
        <v>159</v>
      </c>
      <c r="C542" s="130" t="str">
        <f>C544&amp;"テーブルのレコードを"&amp;R544&amp;"テーブルに格納する。"</f>
        <v>施設ID対応マスタテーブルのレコードをバックアップ_施設ID対応マスタテーブルに格納する。</v>
      </c>
      <c r="D542" s="131"/>
      <c r="E542" s="131"/>
      <c r="F542" s="131"/>
      <c r="G542" s="131"/>
      <c r="H542" s="131"/>
      <c r="I542" s="131"/>
      <c r="J542" s="131"/>
      <c r="K542" s="131"/>
      <c r="L542" s="131"/>
      <c r="M542" s="131"/>
      <c r="N542" s="131"/>
      <c r="O542" s="131"/>
      <c r="P542" s="131"/>
      <c r="Q542" s="131"/>
      <c r="R542" s="131"/>
      <c r="S542" s="131"/>
      <c r="T542" s="131"/>
      <c r="U542" s="132"/>
      <c r="W542" s="35" t="str">
        <f>"-- "&amp;C542</f>
        <v>-- 施設ID対応マスタテーブルのレコードをバックアップ_施設ID対応マスタテーブルに格納する。</v>
      </c>
    </row>
    <row r="544" spans="2:23" ht="18.75" customHeight="1">
      <c r="C544" s="119" t="s">
        <v>3586</v>
      </c>
      <c r="D544" s="120"/>
      <c r="E544" s="125" t="s">
        <v>162</v>
      </c>
      <c r="F544" s="36"/>
      <c r="G544" s="36"/>
      <c r="H544" s="36"/>
      <c r="I544" s="36"/>
      <c r="J544" s="36"/>
      <c r="K544" s="36"/>
      <c r="L544" s="36"/>
      <c r="M544" s="36"/>
      <c r="N544" s="36"/>
      <c r="O544" s="36"/>
      <c r="P544" s="36"/>
      <c r="Q544" s="36"/>
      <c r="R544" s="119" t="str">
        <f>"バックアップ_"&amp;SUBSTITUTE(C544,"_結合","")</f>
        <v>バックアップ_施設ID対応マスタ</v>
      </c>
      <c r="S544" s="120"/>
      <c r="T544" s="123" t="str">
        <f>エンティティ一覧!$O$2</f>
        <v>milscm_2023_009</v>
      </c>
    </row>
    <row r="545" spans="2:23" ht="18.75" customHeight="1">
      <c r="C545" s="121"/>
      <c r="D545" s="122"/>
      <c r="E545" s="126"/>
      <c r="F545" s="37"/>
      <c r="G545" s="37"/>
      <c r="H545" s="37"/>
      <c r="I545" s="37"/>
      <c r="J545" s="37"/>
      <c r="K545" s="37"/>
      <c r="L545" s="37"/>
      <c r="M545" s="37"/>
      <c r="N545" s="37"/>
      <c r="O545" s="37"/>
      <c r="P545" s="37"/>
      <c r="Q545" s="37"/>
      <c r="R545" s="121"/>
      <c r="S545" s="122"/>
      <c r="T545" s="124"/>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3587</v>
      </c>
      <c r="D549" s="88"/>
      <c r="W549" s="35" t="str">
        <f>"-- "&amp;B549&amp;" : "&amp;C549</f>
        <v>-- SQL_ID : 01_A4-07</v>
      </c>
    </row>
    <row r="550" spans="2:23" ht="18.75" customHeight="1">
      <c r="B550" s="43" t="s">
        <v>158</v>
      </c>
      <c r="C550" s="127" t="str">
        <f>R553&amp;"登録"</f>
        <v>バックアップ_医薬品関連マスタ登録</v>
      </c>
      <c r="D550" s="128"/>
      <c r="E550" s="128"/>
      <c r="F550" s="128"/>
      <c r="G550" s="128"/>
      <c r="H550" s="128"/>
      <c r="I550" s="128"/>
      <c r="J550" s="128"/>
      <c r="K550" s="128"/>
      <c r="L550" s="128"/>
      <c r="M550" s="128"/>
      <c r="N550" s="128"/>
      <c r="O550" s="128"/>
      <c r="P550" s="128"/>
      <c r="Q550" s="128"/>
      <c r="R550" s="128"/>
      <c r="S550" s="128"/>
      <c r="T550" s="128"/>
      <c r="U550" s="129"/>
      <c r="W550" s="35" t="str">
        <f>"-- "&amp;C550</f>
        <v>-- バックアップ_医薬品関連マスタ登録</v>
      </c>
    </row>
    <row r="551" spans="2:23" ht="18.75" customHeight="1">
      <c r="B551" s="43" t="s">
        <v>159</v>
      </c>
      <c r="C551" s="130" t="str">
        <f>C553&amp;"テーブルのレコードを"&amp;R553&amp;"テーブルに格納する。"</f>
        <v>医薬品関連マスタテーブルのレコードをバックアップ_医薬品関連マスタテーブルに格納する。</v>
      </c>
      <c r="D551" s="131"/>
      <c r="E551" s="131"/>
      <c r="F551" s="131"/>
      <c r="G551" s="131"/>
      <c r="H551" s="131"/>
      <c r="I551" s="131"/>
      <c r="J551" s="131"/>
      <c r="K551" s="131"/>
      <c r="L551" s="131"/>
      <c r="M551" s="131"/>
      <c r="N551" s="131"/>
      <c r="O551" s="131"/>
      <c r="P551" s="131"/>
      <c r="Q551" s="131"/>
      <c r="R551" s="131"/>
      <c r="S551" s="131"/>
      <c r="T551" s="131"/>
      <c r="U551" s="132"/>
      <c r="W551" s="35" t="str">
        <f>"-- "&amp;C551</f>
        <v>-- 医薬品関連マスタテーブルのレコードをバックアップ_医薬品関連マスタテーブルに格納する。</v>
      </c>
    </row>
    <row r="553" spans="2:23" ht="18.75" customHeight="1">
      <c r="C553" s="119" t="s">
        <v>3588</v>
      </c>
      <c r="D553" s="120"/>
      <c r="E553" s="125" t="s">
        <v>162</v>
      </c>
      <c r="F553" s="36"/>
      <c r="G553" s="36"/>
      <c r="H553" s="36"/>
      <c r="I553" s="36"/>
      <c r="J553" s="36"/>
      <c r="K553" s="36"/>
      <c r="L553" s="36"/>
      <c r="M553" s="36"/>
      <c r="N553" s="36"/>
      <c r="O553" s="36"/>
      <c r="P553" s="36"/>
      <c r="Q553" s="36"/>
      <c r="R553" s="119" t="str">
        <f>"バックアップ_"&amp;SUBSTITUTE(C553,"_結合","")</f>
        <v>バックアップ_医薬品関連マスタ</v>
      </c>
      <c r="S553" s="120"/>
      <c r="T553" s="123" t="str">
        <f>エンティティ一覧!$O$2</f>
        <v>milscm_2023_009</v>
      </c>
    </row>
    <row r="554" spans="2:23" ht="18.75" customHeight="1">
      <c r="C554" s="121"/>
      <c r="D554" s="122"/>
      <c r="E554" s="126"/>
      <c r="F554" s="37"/>
      <c r="G554" s="37"/>
      <c r="H554" s="37"/>
      <c r="I554" s="37"/>
      <c r="J554" s="37"/>
      <c r="K554" s="37"/>
      <c r="L554" s="37"/>
      <c r="M554" s="37"/>
      <c r="N554" s="37"/>
      <c r="O554" s="37"/>
      <c r="P554" s="37"/>
      <c r="Q554" s="37"/>
      <c r="R554" s="121"/>
      <c r="S554" s="122"/>
      <c r="T554" s="124"/>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3589</v>
      </c>
      <c r="D558" s="88"/>
      <c r="W558" s="35" t="str">
        <f>"-- "&amp;B558&amp;" : "&amp;C558</f>
        <v>-- SQL_ID : 01_A4-08</v>
      </c>
    </row>
    <row r="559" spans="2:23" ht="18.75" customHeight="1">
      <c r="B559" s="43" t="s">
        <v>158</v>
      </c>
      <c r="C559" s="127" t="str">
        <f>R562&amp;"登録"</f>
        <v>バックアップ_薬価関連マスタ登録</v>
      </c>
      <c r="D559" s="128"/>
      <c r="E559" s="128"/>
      <c r="F559" s="128"/>
      <c r="G559" s="128"/>
      <c r="H559" s="128"/>
      <c r="I559" s="128"/>
      <c r="J559" s="128"/>
      <c r="K559" s="128"/>
      <c r="L559" s="128"/>
      <c r="M559" s="128"/>
      <c r="N559" s="128"/>
      <c r="O559" s="128"/>
      <c r="P559" s="128"/>
      <c r="Q559" s="128"/>
      <c r="R559" s="128"/>
      <c r="S559" s="128"/>
      <c r="T559" s="128"/>
      <c r="U559" s="129"/>
      <c r="W559" s="35" t="str">
        <f>"-- "&amp;C559</f>
        <v>-- バックアップ_薬価関連マスタ登録</v>
      </c>
    </row>
    <row r="560" spans="2:23" ht="18.75" customHeight="1">
      <c r="B560" s="43" t="s">
        <v>159</v>
      </c>
      <c r="C560" s="130" t="str">
        <f>C562&amp;"テーブルのレコードを"&amp;R562&amp;"テーブルに格納する。"</f>
        <v>薬価関連マスタテーブルのレコードをバックアップ_薬価関連マスタテーブルに格納する。</v>
      </c>
      <c r="D560" s="131"/>
      <c r="E560" s="131"/>
      <c r="F560" s="131"/>
      <c r="G560" s="131"/>
      <c r="H560" s="131"/>
      <c r="I560" s="131"/>
      <c r="J560" s="131"/>
      <c r="K560" s="131"/>
      <c r="L560" s="131"/>
      <c r="M560" s="131"/>
      <c r="N560" s="131"/>
      <c r="O560" s="131"/>
      <c r="P560" s="131"/>
      <c r="Q560" s="131"/>
      <c r="R560" s="131"/>
      <c r="S560" s="131"/>
      <c r="T560" s="131"/>
      <c r="U560" s="132"/>
      <c r="W560" s="35" t="str">
        <f>"-- "&amp;C560</f>
        <v>-- 薬価関連マスタテーブルのレコードをバックアップ_薬価関連マスタテーブルに格納する。</v>
      </c>
    </row>
    <row r="562" spans="2:23" ht="18.75" customHeight="1">
      <c r="C562" s="119" t="s">
        <v>3590</v>
      </c>
      <c r="D562" s="120"/>
      <c r="E562" s="125" t="s">
        <v>162</v>
      </c>
      <c r="F562" s="36"/>
      <c r="G562" s="36"/>
      <c r="H562" s="36"/>
      <c r="I562" s="36"/>
      <c r="J562" s="36"/>
      <c r="K562" s="36"/>
      <c r="L562" s="36"/>
      <c r="M562" s="36"/>
      <c r="N562" s="36"/>
      <c r="O562" s="36"/>
      <c r="P562" s="36"/>
      <c r="Q562" s="36"/>
      <c r="R562" s="119" t="str">
        <f>"バックアップ_"&amp;SUBSTITUTE(C562,"_結合","")</f>
        <v>バックアップ_薬価関連マスタ</v>
      </c>
      <c r="S562" s="120"/>
      <c r="T562" s="123" t="str">
        <f>エンティティ一覧!$O$2</f>
        <v>milscm_2023_009</v>
      </c>
    </row>
    <row r="563" spans="2:23" ht="18.75" customHeight="1">
      <c r="C563" s="121"/>
      <c r="D563" s="122"/>
      <c r="E563" s="126"/>
      <c r="F563" s="37"/>
      <c r="G563" s="37"/>
      <c r="H563" s="37"/>
      <c r="I563" s="37"/>
      <c r="J563" s="37"/>
      <c r="K563" s="37"/>
      <c r="L563" s="37"/>
      <c r="M563" s="37"/>
      <c r="N563" s="37"/>
      <c r="O563" s="37"/>
      <c r="P563" s="37"/>
      <c r="Q563" s="37"/>
      <c r="R563" s="121"/>
      <c r="S563" s="122"/>
      <c r="T563" s="124"/>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3591</v>
      </c>
      <c r="D567" s="88"/>
      <c r="W567" s="35" t="str">
        <f>"-- "&amp;B567&amp;" : "&amp;C567</f>
        <v>-- SQL_ID : 01_A4-09</v>
      </c>
    </row>
    <row r="568" spans="2:23" ht="18.75" customHeight="1">
      <c r="B568" s="43" t="s">
        <v>158</v>
      </c>
      <c r="C568" s="127" t="str">
        <f>R571&amp;"登録"</f>
        <v>バックアップ_診療行為関連マスタ登録</v>
      </c>
      <c r="D568" s="128"/>
      <c r="E568" s="128"/>
      <c r="F568" s="128"/>
      <c r="G568" s="128"/>
      <c r="H568" s="128"/>
      <c r="I568" s="128"/>
      <c r="J568" s="128"/>
      <c r="K568" s="128"/>
      <c r="L568" s="128"/>
      <c r="M568" s="128"/>
      <c r="N568" s="128"/>
      <c r="O568" s="128"/>
      <c r="P568" s="128"/>
      <c r="Q568" s="128"/>
      <c r="R568" s="128"/>
      <c r="S568" s="128"/>
      <c r="T568" s="128"/>
      <c r="U568" s="129"/>
      <c r="W568" s="35" t="str">
        <f>"-- "&amp;C568</f>
        <v>-- バックアップ_診療行為関連マスタ登録</v>
      </c>
    </row>
    <row r="569" spans="2:23" ht="18.75" customHeight="1">
      <c r="B569" s="43" t="s">
        <v>159</v>
      </c>
      <c r="C569" s="130" t="str">
        <f>C571&amp;"テーブルのレコードを"&amp;R571&amp;"テーブルに格納する。"</f>
        <v>診療行為関連マスタテーブルのレコードをバックアップ_診療行為関連マスタテーブルに格納する。</v>
      </c>
      <c r="D569" s="131"/>
      <c r="E569" s="131"/>
      <c r="F569" s="131"/>
      <c r="G569" s="131"/>
      <c r="H569" s="131"/>
      <c r="I569" s="131"/>
      <c r="J569" s="131"/>
      <c r="K569" s="131"/>
      <c r="L569" s="131"/>
      <c r="M569" s="131"/>
      <c r="N569" s="131"/>
      <c r="O569" s="131"/>
      <c r="P569" s="131"/>
      <c r="Q569" s="131"/>
      <c r="R569" s="131"/>
      <c r="S569" s="131"/>
      <c r="T569" s="131"/>
      <c r="U569" s="132"/>
      <c r="W569" s="35" t="str">
        <f>"-- "&amp;C569</f>
        <v>-- 診療行為関連マスタテーブルのレコードをバックアップ_診療行為関連マスタテーブルに格納する。</v>
      </c>
    </row>
    <row r="571" spans="2:23" ht="18.75" customHeight="1">
      <c r="C571" s="119" t="s">
        <v>3592</v>
      </c>
      <c r="D571" s="120"/>
      <c r="E571" s="125" t="s">
        <v>162</v>
      </c>
      <c r="F571" s="36"/>
      <c r="G571" s="36"/>
      <c r="H571" s="36"/>
      <c r="I571" s="36"/>
      <c r="J571" s="36"/>
      <c r="K571" s="36"/>
      <c r="L571" s="36"/>
      <c r="M571" s="36"/>
      <c r="N571" s="36"/>
      <c r="O571" s="36"/>
      <c r="P571" s="36"/>
      <c r="Q571" s="36"/>
      <c r="R571" s="119" t="str">
        <f>"バックアップ_"&amp;SUBSTITUTE(C571,"_結合","")</f>
        <v>バックアップ_診療行為関連マスタ</v>
      </c>
      <c r="S571" s="120"/>
      <c r="T571" s="123" t="str">
        <f>エンティティ一覧!$O$2</f>
        <v>milscm_2023_009</v>
      </c>
    </row>
    <row r="572" spans="2:23" ht="18.75" customHeight="1">
      <c r="C572" s="121"/>
      <c r="D572" s="122"/>
      <c r="E572" s="126"/>
      <c r="F572" s="37"/>
      <c r="G572" s="37"/>
      <c r="H572" s="37"/>
      <c r="I572" s="37"/>
      <c r="J572" s="37"/>
      <c r="K572" s="37"/>
      <c r="L572" s="37"/>
      <c r="M572" s="37"/>
      <c r="N572" s="37"/>
      <c r="O572" s="37"/>
      <c r="P572" s="37"/>
      <c r="Q572" s="37"/>
      <c r="R572" s="121"/>
      <c r="S572" s="122"/>
      <c r="T572" s="124"/>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3593</v>
      </c>
      <c r="D576" s="88"/>
      <c r="W576" s="35" t="str">
        <f>"-- "&amp;B576&amp;" : "&amp;C576</f>
        <v>-- SQL_ID : 01_A4-10</v>
      </c>
    </row>
    <row r="577" spans="2:23" ht="18.75" customHeight="1">
      <c r="B577" s="43" t="s">
        <v>158</v>
      </c>
      <c r="C577" s="127" t="str">
        <f>R580&amp;"登録"</f>
        <v>バックアップ_特定器材関連マスタ登録</v>
      </c>
      <c r="D577" s="128"/>
      <c r="E577" s="128"/>
      <c r="F577" s="128"/>
      <c r="G577" s="128"/>
      <c r="H577" s="128"/>
      <c r="I577" s="128"/>
      <c r="J577" s="128"/>
      <c r="K577" s="128"/>
      <c r="L577" s="128"/>
      <c r="M577" s="128"/>
      <c r="N577" s="128"/>
      <c r="O577" s="128"/>
      <c r="P577" s="128"/>
      <c r="Q577" s="128"/>
      <c r="R577" s="128"/>
      <c r="S577" s="128"/>
      <c r="T577" s="128"/>
      <c r="U577" s="129"/>
      <c r="W577" s="35" t="str">
        <f>"-- "&amp;C577</f>
        <v>-- バックアップ_特定器材関連マスタ登録</v>
      </c>
    </row>
    <row r="578" spans="2:23" ht="18.75" customHeight="1">
      <c r="B578" s="43" t="s">
        <v>159</v>
      </c>
      <c r="C578" s="130" t="str">
        <f>C580&amp;"テーブルのレコードを"&amp;R580&amp;"テーブルに格納する。"</f>
        <v>特定器材関連マスタテーブルのレコードをバックアップ_特定器材関連マスタテーブルに格納する。</v>
      </c>
      <c r="D578" s="131"/>
      <c r="E578" s="131"/>
      <c r="F578" s="131"/>
      <c r="G578" s="131"/>
      <c r="H578" s="131"/>
      <c r="I578" s="131"/>
      <c r="J578" s="131"/>
      <c r="K578" s="131"/>
      <c r="L578" s="131"/>
      <c r="M578" s="131"/>
      <c r="N578" s="131"/>
      <c r="O578" s="131"/>
      <c r="P578" s="131"/>
      <c r="Q578" s="131"/>
      <c r="R578" s="131"/>
      <c r="S578" s="131"/>
      <c r="T578" s="131"/>
      <c r="U578" s="132"/>
      <c r="W578" s="35" t="str">
        <f>"-- "&amp;C578</f>
        <v>-- 特定器材関連マスタテーブルのレコードをバックアップ_特定器材関連マスタテーブルに格納する。</v>
      </c>
    </row>
    <row r="580" spans="2:23" ht="18.75" customHeight="1">
      <c r="C580" s="119" t="s">
        <v>3594</v>
      </c>
      <c r="D580" s="120"/>
      <c r="E580" s="125" t="s">
        <v>162</v>
      </c>
      <c r="F580" s="36"/>
      <c r="G580" s="36"/>
      <c r="H580" s="36"/>
      <c r="I580" s="36"/>
      <c r="J580" s="36"/>
      <c r="K580" s="36"/>
      <c r="L580" s="36"/>
      <c r="M580" s="36"/>
      <c r="N580" s="36"/>
      <c r="O580" s="36"/>
      <c r="P580" s="36"/>
      <c r="Q580" s="36"/>
      <c r="R580" s="119" t="str">
        <f>"バックアップ_"&amp;SUBSTITUTE(C580,"_結合","")</f>
        <v>バックアップ_特定器材関連マスタ</v>
      </c>
      <c r="S580" s="120"/>
      <c r="T580" s="123" t="str">
        <f>エンティティ一覧!$O$2</f>
        <v>milscm_2023_009</v>
      </c>
    </row>
    <row r="581" spans="2:23" ht="18.75" customHeight="1">
      <c r="C581" s="121"/>
      <c r="D581" s="122"/>
      <c r="E581" s="126"/>
      <c r="F581" s="37"/>
      <c r="G581" s="37"/>
      <c r="H581" s="37"/>
      <c r="I581" s="37"/>
      <c r="J581" s="37"/>
      <c r="K581" s="37"/>
      <c r="L581" s="37"/>
      <c r="M581" s="37"/>
      <c r="N581" s="37"/>
      <c r="O581" s="37"/>
      <c r="P581" s="37"/>
      <c r="Q581" s="37"/>
      <c r="R581" s="121"/>
      <c r="S581" s="122"/>
      <c r="T581" s="124"/>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3595</v>
      </c>
      <c r="D585" s="88"/>
      <c r="W585" s="35" t="str">
        <f>"-- "&amp;B585&amp;" : "&amp;C585</f>
        <v>-- SQL_ID : 01_A4-11</v>
      </c>
    </row>
    <row r="586" spans="2:23" ht="18.75" customHeight="1">
      <c r="B586" s="43" t="s">
        <v>158</v>
      </c>
      <c r="C586" s="127" t="str">
        <f>R589&amp;"登録"</f>
        <v>バックアップ_DPC関連マスタ登録</v>
      </c>
      <c r="D586" s="128"/>
      <c r="E586" s="128"/>
      <c r="F586" s="128"/>
      <c r="G586" s="128"/>
      <c r="H586" s="128"/>
      <c r="I586" s="128"/>
      <c r="J586" s="128"/>
      <c r="K586" s="128"/>
      <c r="L586" s="128"/>
      <c r="M586" s="128"/>
      <c r="N586" s="128"/>
      <c r="O586" s="128"/>
      <c r="P586" s="128"/>
      <c r="Q586" s="128"/>
      <c r="R586" s="128"/>
      <c r="S586" s="128"/>
      <c r="T586" s="128"/>
      <c r="U586" s="129"/>
      <c r="W586" s="35" t="str">
        <f>"-- "&amp;C586</f>
        <v>-- バックアップ_DPC関連マスタ登録</v>
      </c>
    </row>
    <row r="587" spans="2:23" ht="18.75" customHeight="1">
      <c r="B587" s="43" t="s">
        <v>159</v>
      </c>
      <c r="C587" s="130" t="str">
        <f>C589&amp;"テーブルのレコードを"&amp;R589&amp;"テーブルに格納する。"</f>
        <v>DPC関連マスタテーブルのレコードをバックアップ_DPC関連マスタテーブルに格納する。</v>
      </c>
      <c r="D587" s="131"/>
      <c r="E587" s="131"/>
      <c r="F587" s="131"/>
      <c r="G587" s="131"/>
      <c r="H587" s="131"/>
      <c r="I587" s="131"/>
      <c r="J587" s="131"/>
      <c r="K587" s="131"/>
      <c r="L587" s="131"/>
      <c r="M587" s="131"/>
      <c r="N587" s="131"/>
      <c r="O587" s="131"/>
      <c r="P587" s="131"/>
      <c r="Q587" s="131"/>
      <c r="R587" s="131"/>
      <c r="S587" s="131"/>
      <c r="T587" s="131"/>
      <c r="U587" s="132"/>
      <c r="W587" s="35" t="str">
        <f>"-- "&amp;C587</f>
        <v>-- DPC関連マスタテーブルのレコードをバックアップ_DPC関連マスタテーブルに格納する。</v>
      </c>
    </row>
    <row r="589" spans="2:23" ht="18.75" customHeight="1">
      <c r="C589" s="119" t="s">
        <v>3596</v>
      </c>
      <c r="D589" s="120"/>
      <c r="E589" s="125" t="s">
        <v>162</v>
      </c>
      <c r="F589" s="36"/>
      <c r="G589" s="36"/>
      <c r="H589" s="36"/>
      <c r="I589" s="36"/>
      <c r="J589" s="36"/>
      <c r="K589" s="36"/>
      <c r="L589" s="36"/>
      <c r="M589" s="36"/>
      <c r="N589" s="36"/>
      <c r="O589" s="36"/>
      <c r="P589" s="36"/>
      <c r="Q589" s="36"/>
      <c r="R589" s="119" t="str">
        <f>"バックアップ_"&amp;SUBSTITUTE(C589,"_結合","")</f>
        <v>バックアップ_DPC関連マスタ</v>
      </c>
      <c r="S589" s="120"/>
      <c r="T589" s="123" t="str">
        <f>エンティティ一覧!$O$2</f>
        <v>milscm_2023_009</v>
      </c>
    </row>
    <row r="590" spans="2:23" ht="18.75" customHeight="1">
      <c r="C590" s="121"/>
      <c r="D590" s="122"/>
      <c r="E590" s="126"/>
      <c r="F590" s="37"/>
      <c r="G590" s="37"/>
      <c r="H590" s="37"/>
      <c r="I590" s="37"/>
      <c r="J590" s="37"/>
      <c r="K590" s="37"/>
      <c r="L590" s="37"/>
      <c r="M590" s="37"/>
      <c r="N590" s="37"/>
      <c r="O590" s="37"/>
      <c r="P590" s="37"/>
      <c r="Q590" s="37"/>
      <c r="R590" s="121"/>
      <c r="S590" s="122"/>
      <c r="T590" s="124"/>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3597</v>
      </c>
      <c r="D594" s="88"/>
      <c r="W594" s="35" t="str">
        <f>"-- "&amp;B594&amp;" : "&amp;C594</f>
        <v>-- SQL_ID : 01_A4-12</v>
      </c>
    </row>
    <row r="595" spans="2:23" ht="18.75" customHeight="1">
      <c r="B595" s="43" t="s">
        <v>158</v>
      </c>
      <c r="C595" s="127" t="str">
        <f>R598&amp;"登録"</f>
        <v>バックアップ_疾患関連マスタ登録</v>
      </c>
      <c r="D595" s="128"/>
      <c r="E595" s="128"/>
      <c r="F595" s="128"/>
      <c r="G595" s="128"/>
      <c r="H595" s="128"/>
      <c r="I595" s="128"/>
      <c r="J595" s="128"/>
      <c r="K595" s="128"/>
      <c r="L595" s="128"/>
      <c r="M595" s="128"/>
      <c r="N595" s="128"/>
      <c r="O595" s="128"/>
      <c r="P595" s="128"/>
      <c r="Q595" s="128"/>
      <c r="R595" s="128"/>
      <c r="S595" s="128"/>
      <c r="T595" s="128"/>
      <c r="U595" s="129"/>
      <c r="W595" s="35" t="str">
        <f>"-- "&amp;C595</f>
        <v>-- バックアップ_疾患関連マスタ登録</v>
      </c>
    </row>
    <row r="596" spans="2:23" ht="18.75" customHeight="1">
      <c r="B596" s="43" t="s">
        <v>159</v>
      </c>
      <c r="C596" s="130" t="str">
        <f>C598&amp;"テーブルのレコードを"&amp;R598&amp;"テーブルに格納する。"</f>
        <v>疾患関連マスタテーブルのレコードをバックアップ_疾患関連マスタテーブルに格納する。</v>
      </c>
      <c r="D596" s="131"/>
      <c r="E596" s="131"/>
      <c r="F596" s="131"/>
      <c r="G596" s="131"/>
      <c r="H596" s="131"/>
      <c r="I596" s="131"/>
      <c r="J596" s="131"/>
      <c r="K596" s="131"/>
      <c r="L596" s="131"/>
      <c r="M596" s="131"/>
      <c r="N596" s="131"/>
      <c r="O596" s="131"/>
      <c r="P596" s="131"/>
      <c r="Q596" s="131"/>
      <c r="R596" s="131"/>
      <c r="S596" s="131"/>
      <c r="T596" s="131"/>
      <c r="U596" s="132"/>
      <c r="W596" s="35" t="str">
        <f>"-- "&amp;C596</f>
        <v>-- 疾患関連マスタテーブルのレコードをバックアップ_疾患関連マスタテーブルに格納する。</v>
      </c>
    </row>
    <row r="598" spans="2:23" ht="18.75" customHeight="1">
      <c r="C598" s="119" t="s">
        <v>3598</v>
      </c>
      <c r="D598" s="120"/>
      <c r="E598" s="125" t="s">
        <v>162</v>
      </c>
      <c r="F598" s="36"/>
      <c r="G598" s="36"/>
      <c r="H598" s="36"/>
      <c r="I598" s="36"/>
      <c r="J598" s="36"/>
      <c r="K598" s="36"/>
      <c r="L598" s="36"/>
      <c r="M598" s="36"/>
      <c r="N598" s="36"/>
      <c r="O598" s="36"/>
      <c r="P598" s="36"/>
      <c r="Q598" s="36"/>
      <c r="R598" s="119" t="str">
        <f>"バックアップ_"&amp;SUBSTITUTE(C598,"_結合","")</f>
        <v>バックアップ_疾患関連マスタ</v>
      </c>
      <c r="S598" s="120"/>
      <c r="T598" s="123" t="str">
        <f>エンティティ一覧!$O$2</f>
        <v>milscm_2023_009</v>
      </c>
    </row>
    <row r="599" spans="2:23" ht="18.75" customHeight="1">
      <c r="C599" s="121"/>
      <c r="D599" s="122"/>
      <c r="E599" s="126"/>
      <c r="F599" s="37"/>
      <c r="G599" s="37"/>
      <c r="H599" s="37"/>
      <c r="I599" s="37"/>
      <c r="J599" s="37"/>
      <c r="K599" s="37"/>
      <c r="L599" s="37"/>
      <c r="M599" s="37"/>
      <c r="N599" s="37"/>
      <c r="O599" s="37"/>
      <c r="P599" s="37"/>
      <c r="Q599" s="37"/>
      <c r="R599" s="121"/>
      <c r="S599" s="122"/>
      <c r="T599" s="124"/>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3599</v>
      </c>
      <c r="D603" s="88"/>
      <c r="W603" s="35" t="str">
        <f>"-- "&amp;B603&amp;" : "&amp;C603</f>
        <v>-- SQL_ID : 01_A4-13</v>
      </c>
    </row>
    <row r="604" spans="2:23" ht="18.75" customHeight="1">
      <c r="B604" s="43" t="s">
        <v>158</v>
      </c>
      <c r="C604" s="127" t="str">
        <f>R607&amp;"登録"</f>
        <v>バックアップ_医薬品成分関連マスタ登録</v>
      </c>
      <c r="D604" s="128"/>
      <c r="E604" s="128"/>
      <c r="F604" s="128"/>
      <c r="G604" s="128"/>
      <c r="H604" s="128"/>
      <c r="I604" s="128"/>
      <c r="J604" s="128"/>
      <c r="K604" s="128"/>
      <c r="L604" s="128"/>
      <c r="M604" s="128"/>
      <c r="N604" s="128"/>
      <c r="O604" s="128"/>
      <c r="P604" s="128"/>
      <c r="Q604" s="128"/>
      <c r="R604" s="128"/>
      <c r="S604" s="128"/>
      <c r="T604" s="128"/>
      <c r="U604" s="129"/>
      <c r="W604" s="35" t="str">
        <f>"-- "&amp;C604</f>
        <v>-- バックアップ_医薬品成分関連マスタ登録</v>
      </c>
    </row>
    <row r="605" spans="2:23" ht="18.75" customHeight="1">
      <c r="B605" s="43" t="s">
        <v>159</v>
      </c>
      <c r="C605" s="130" t="str">
        <f>C607&amp;"テーブルのレコードを"&amp;R607&amp;"テーブルに格納する。"</f>
        <v>医薬品成分関連マスタテーブルのレコードをバックアップ_医薬品成分関連マスタテーブルに格納する。</v>
      </c>
      <c r="D605" s="131"/>
      <c r="E605" s="131"/>
      <c r="F605" s="131"/>
      <c r="G605" s="131"/>
      <c r="H605" s="131"/>
      <c r="I605" s="131"/>
      <c r="J605" s="131"/>
      <c r="K605" s="131"/>
      <c r="L605" s="131"/>
      <c r="M605" s="131"/>
      <c r="N605" s="131"/>
      <c r="O605" s="131"/>
      <c r="P605" s="131"/>
      <c r="Q605" s="131"/>
      <c r="R605" s="131"/>
      <c r="S605" s="131"/>
      <c r="T605" s="131"/>
      <c r="U605" s="132"/>
      <c r="W605" s="35" t="str">
        <f>"-- "&amp;C605</f>
        <v>-- 医薬品成分関連マスタテーブルのレコードをバックアップ_医薬品成分関連マスタテーブルに格納する。</v>
      </c>
    </row>
    <row r="607" spans="2:23" ht="18.75" customHeight="1">
      <c r="C607" s="119" t="s">
        <v>3600</v>
      </c>
      <c r="D607" s="120"/>
      <c r="E607" s="125" t="s">
        <v>162</v>
      </c>
      <c r="F607" s="36"/>
      <c r="G607" s="36"/>
      <c r="H607" s="36"/>
      <c r="I607" s="36"/>
      <c r="J607" s="36"/>
      <c r="K607" s="36"/>
      <c r="L607" s="36"/>
      <c r="M607" s="36"/>
      <c r="N607" s="36"/>
      <c r="O607" s="36"/>
      <c r="P607" s="36"/>
      <c r="Q607" s="36"/>
      <c r="R607" s="119" t="str">
        <f>"バックアップ_"&amp;SUBSTITUTE(C607,"_結合","")</f>
        <v>バックアップ_医薬品成分関連マスタ</v>
      </c>
      <c r="S607" s="120"/>
      <c r="T607" s="123" t="str">
        <f>エンティティ一覧!$O$2</f>
        <v>milscm_2023_009</v>
      </c>
    </row>
    <row r="608" spans="2:23" ht="18.75" customHeight="1">
      <c r="C608" s="121"/>
      <c r="D608" s="122"/>
      <c r="E608" s="126"/>
      <c r="F608" s="37"/>
      <c r="G608" s="37"/>
      <c r="H608" s="37"/>
      <c r="I608" s="37"/>
      <c r="J608" s="37"/>
      <c r="K608" s="37"/>
      <c r="L608" s="37"/>
      <c r="M608" s="37"/>
      <c r="N608" s="37"/>
      <c r="O608" s="37"/>
      <c r="P608" s="37"/>
      <c r="Q608" s="37"/>
      <c r="R608" s="121"/>
      <c r="S608" s="122"/>
      <c r="T608" s="124"/>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3601</v>
      </c>
      <c r="D612" s="88"/>
      <c r="W612" s="35" t="str">
        <f>"-- "&amp;B612&amp;" : "&amp;C612</f>
        <v>-- SQL_ID : 01_A4-14</v>
      </c>
    </row>
    <row r="613" spans="2:23" ht="18.75" customHeight="1">
      <c r="B613" s="43" t="s">
        <v>158</v>
      </c>
      <c r="C613" s="127" t="str">
        <f>R616&amp;"登録"</f>
        <v>バックアップ_医薬品適用病名関連マスタ登録</v>
      </c>
      <c r="D613" s="128"/>
      <c r="E613" s="128"/>
      <c r="F613" s="128"/>
      <c r="G613" s="128"/>
      <c r="H613" s="128"/>
      <c r="I613" s="128"/>
      <c r="J613" s="128"/>
      <c r="K613" s="128"/>
      <c r="L613" s="128"/>
      <c r="M613" s="128"/>
      <c r="N613" s="128"/>
      <c r="O613" s="128"/>
      <c r="P613" s="128"/>
      <c r="Q613" s="128"/>
      <c r="R613" s="128"/>
      <c r="S613" s="128"/>
      <c r="T613" s="128"/>
      <c r="U613" s="129"/>
      <c r="W613" s="35" t="str">
        <f>"-- "&amp;C613</f>
        <v>-- バックアップ_医薬品適用病名関連マスタ登録</v>
      </c>
    </row>
    <row r="614" spans="2:23" ht="18.75" customHeight="1">
      <c r="B614" s="43" t="s">
        <v>159</v>
      </c>
      <c r="C614" s="130" t="str">
        <f>C616&amp;"テーブルのレコードを"&amp;R616&amp;"テーブルに格納する。"</f>
        <v>医薬品適用病名関連マスタテーブルのレコードをバックアップ_医薬品適用病名関連マスタテーブルに格納する。</v>
      </c>
      <c r="D614" s="131"/>
      <c r="E614" s="131"/>
      <c r="F614" s="131"/>
      <c r="G614" s="131"/>
      <c r="H614" s="131"/>
      <c r="I614" s="131"/>
      <c r="J614" s="131"/>
      <c r="K614" s="131"/>
      <c r="L614" s="131"/>
      <c r="M614" s="131"/>
      <c r="N614" s="131"/>
      <c r="O614" s="131"/>
      <c r="P614" s="131"/>
      <c r="Q614" s="131"/>
      <c r="R614" s="131"/>
      <c r="S614" s="131"/>
      <c r="T614" s="131"/>
      <c r="U614" s="132"/>
      <c r="W614" s="35" t="str">
        <f>"-- "&amp;C614</f>
        <v>-- 医薬品適用病名関連マスタテーブルのレコードをバックアップ_医薬品適用病名関連マスタテーブルに格納する。</v>
      </c>
    </row>
    <row r="616" spans="2:23" ht="18.75" customHeight="1">
      <c r="C616" s="119" t="s">
        <v>3602</v>
      </c>
      <c r="D616" s="120"/>
      <c r="E616" s="125" t="s">
        <v>162</v>
      </c>
      <c r="F616" s="36"/>
      <c r="G616" s="36"/>
      <c r="H616" s="36"/>
      <c r="I616" s="36"/>
      <c r="J616" s="36"/>
      <c r="K616" s="36"/>
      <c r="L616" s="36"/>
      <c r="M616" s="36"/>
      <c r="N616" s="36"/>
      <c r="O616" s="36"/>
      <c r="P616" s="36"/>
      <c r="Q616" s="36"/>
      <c r="R616" s="119" t="str">
        <f>"バックアップ_"&amp;SUBSTITUTE(C616,"_結合","")</f>
        <v>バックアップ_医薬品適用病名関連マスタ</v>
      </c>
      <c r="S616" s="120"/>
      <c r="T616" s="123" t="str">
        <f>エンティティ一覧!$O$2</f>
        <v>milscm_2023_009</v>
      </c>
    </row>
    <row r="617" spans="2:23" ht="18.75" customHeight="1">
      <c r="C617" s="121"/>
      <c r="D617" s="122"/>
      <c r="E617" s="126"/>
      <c r="F617" s="37"/>
      <c r="G617" s="37"/>
      <c r="H617" s="37"/>
      <c r="I617" s="37"/>
      <c r="J617" s="37"/>
      <c r="K617" s="37"/>
      <c r="L617" s="37"/>
      <c r="M617" s="37"/>
      <c r="N617" s="37"/>
      <c r="O617" s="37"/>
      <c r="P617" s="37"/>
      <c r="Q617" s="37"/>
      <c r="R617" s="121"/>
      <c r="S617" s="122"/>
      <c r="T617" s="124"/>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3603</v>
      </c>
      <c r="D621" s="88"/>
      <c r="W621" s="35" t="str">
        <f>"-- "&amp;B621&amp;" : "&amp;C621</f>
        <v>-- SQL_ID : 01_A6-02</v>
      </c>
    </row>
    <row r="622" spans="2:23" ht="18.75" customHeight="1">
      <c r="B622" s="43" t="s">
        <v>158</v>
      </c>
      <c r="C622" s="127" t="str">
        <f>R625&amp;"登録"</f>
        <v>バックアップ_MML共通登録</v>
      </c>
      <c r="D622" s="128"/>
      <c r="E622" s="128"/>
      <c r="F622" s="128"/>
      <c r="G622" s="128"/>
      <c r="H622" s="128"/>
      <c r="I622" s="128"/>
      <c r="J622" s="128"/>
      <c r="K622" s="128"/>
      <c r="L622" s="128"/>
      <c r="M622" s="128"/>
      <c r="N622" s="128"/>
      <c r="O622" s="128"/>
      <c r="P622" s="128"/>
      <c r="Q622" s="128"/>
      <c r="R622" s="128"/>
      <c r="S622" s="128"/>
      <c r="T622" s="128"/>
      <c r="U622" s="129"/>
      <c r="W622" s="35" t="str">
        <f>"-- "&amp;C622</f>
        <v>-- バックアップ_MML共通登録</v>
      </c>
    </row>
    <row r="623" spans="2:23" ht="18.75" customHeight="1">
      <c r="B623" s="43" t="s">
        <v>159</v>
      </c>
      <c r="C623" s="130"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31"/>
      <c r="E623" s="131"/>
      <c r="F623" s="131"/>
      <c r="G623" s="131"/>
      <c r="H623" s="131"/>
      <c r="I623" s="131"/>
      <c r="J623" s="131"/>
      <c r="K623" s="131"/>
      <c r="L623" s="131"/>
      <c r="M623" s="131"/>
      <c r="N623" s="131"/>
      <c r="O623" s="131"/>
      <c r="P623" s="131"/>
      <c r="Q623" s="131"/>
      <c r="R623" s="131"/>
      <c r="S623" s="131"/>
      <c r="T623" s="131"/>
      <c r="U623" s="132"/>
      <c r="W623" s="35" t="str">
        <f>"-- "&amp;C623</f>
        <v>-- MML共通テーブルから組入れ条件の第一条件で絞り込んだ結果をバックアップ_MML共通テーブルに格納する。</v>
      </c>
    </row>
    <row r="625" spans="2:23" ht="18.75" customHeight="1">
      <c r="C625" s="119" t="s">
        <v>3604</v>
      </c>
      <c r="D625" s="120"/>
      <c r="E625" s="125" t="s">
        <v>162</v>
      </c>
      <c r="F625" s="36"/>
      <c r="G625" s="36"/>
      <c r="H625" s="36"/>
      <c r="I625" s="36"/>
      <c r="J625" s="36"/>
      <c r="M625" s="36"/>
      <c r="N625" s="36"/>
      <c r="O625" s="36"/>
      <c r="P625" s="36"/>
      <c r="Q625" s="36"/>
      <c r="R625" s="119" t="str">
        <f>"バックアップ_"&amp;SUBSTITUTE(C625,"_結合","")</f>
        <v>バックアップ_MML共通</v>
      </c>
      <c r="S625" s="120"/>
      <c r="T625" s="123" t="str">
        <f>エンティティ一覧!$O$2</f>
        <v>milscm_2023_009</v>
      </c>
    </row>
    <row r="626" spans="2:23" ht="18.75" customHeight="1">
      <c r="C626" s="121"/>
      <c r="D626" s="122"/>
      <c r="E626" s="126"/>
      <c r="F626" s="37"/>
      <c r="G626" s="37"/>
      <c r="H626" s="37"/>
      <c r="I626" s="37"/>
      <c r="J626" s="37"/>
      <c r="K626" s="37"/>
      <c r="L626" s="38"/>
      <c r="M626" s="37"/>
      <c r="N626" s="37"/>
      <c r="O626" s="37"/>
      <c r="P626" s="37"/>
      <c r="Q626" s="37"/>
      <c r="R626" s="121"/>
      <c r="S626" s="122"/>
      <c r="T626" s="124"/>
    </row>
    <row r="627" spans="2:23" ht="18.75" customHeight="1">
      <c r="K627" s="39"/>
      <c r="L627" s="40"/>
    </row>
    <row r="628" spans="2:23" ht="18.75" customHeight="1">
      <c r="C628" s="119" t="s">
        <v>3183</v>
      </c>
      <c r="D628" s="120"/>
      <c r="E628" s="123" t="str">
        <f>エンティティ一覧!$O$2</f>
        <v>milscm_2023_009</v>
      </c>
      <c r="F628" s="36"/>
      <c r="G628" s="36"/>
      <c r="H628" s="36"/>
      <c r="I628" s="36"/>
      <c r="J628" s="36"/>
      <c r="L628" s="41"/>
    </row>
    <row r="629" spans="2:23" ht="18.75" customHeight="1">
      <c r="C629" s="121"/>
      <c r="D629" s="122"/>
      <c r="E629" s="124"/>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3969</v>
      </c>
      <c r="D633" s="100"/>
      <c r="W633" s="35" t="str">
        <f>"-- "&amp;B633&amp;" : "&amp;C633</f>
        <v>-- SQL_ID : 01_A6-02-01</v>
      </c>
    </row>
    <row r="634" spans="2:23" ht="18.75" customHeight="1">
      <c r="B634" s="43" t="s">
        <v>158</v>
      </c>
      <c r="C634" s="127" t="s">
        <v>3970</v>
      </c>
      <c r="D634" s="128"/>
      <c r="E634" s="128"/>
      <c r="F634" s="128"/>
      <c r="G634" s="128"/>
      <c r="H634" s="128"/>
      <c r="I634" s="128"/>
      <c r="J634" s="128"/>
      <c r="K634" s="128"/>
      <c r="L634" s="128"/>
      <c r="M634" s="128"/>
      <c r="N634" s="128"/>
      <c r="O634" s="128"/>
      <c r="P634" s="128"/>
      <c r="Q634" s="128"/>
      <c r="R634" s="128"/>
      <c r="S634" s="128"/>
      <c r="T634" s="128"/>
      <c r="U634" s="129"/>
      <c r="W634" s="35" t="str">
        <f>"-- "&amp;C634</f>
        <v>-- バックアップ_MML共通_名古屋第一_Lb登録</v>
      </c>
    </row>
    <row r="635" spans="2:23" ht="18.75" customHeight="1">
      <c r="B635" s="43" t="s">
        <v>159</v>
      </c>
      <c r="C635" s="130"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31"/>
      <c r="E635" s="131"/>
      <c r="F635" s="131"/>
      <c r="G635" s="131"/>
      <c r="H635" s="131"/>
      <c r="I635" s="131"/>
      <c r="J635" s="131"/>
      <c r="K635" s="131"/>
      <c r="L635" s="131"/>
      <c r="M635" s="131"/>
      <c r="N635" s="131"/>
      <c r="O635" s="131"/>
      <c r="P635" s="131"/>
      <c r="Q635" s="131"/>
      <c r="R635" s="131"/>
      <c r="S635" s="131"/>
      <c r="T635" s="131"/>
      <c r="U635" s="132"/>
      <c r="W635" s="35" t="str">
        <f>"-- "&amp;C635</f>
        <v>-- MML共通テーブルから名古屋第一、Lbモジュールの条件で絞り込んだ結果をバックアップ_MML共通テーブルに格納する。</v>
      </c>
    </row>
    <row r="637" spans="2:23" ht="18.75" customHeight="1">
      <c r="C637" s="119" t="s">
        <v>3604</v>
      </c>
      <c r="D637" s="120"/>
      <c r="E637" s="125" t="s">
        <v>162</v>
      </c>
      <c r="F637" s="36"/>
      <c r="G637" s="36"/>
      <c r="H637" s="36"/>
      <c r="I637" s="36"/>
      <c r="J637" s="36"/>
      <c r="M637" s="36"/>
      <c r="N637" s="36"/>
      <c r="O637" s="36"/>
      <c r="P637" s="36"/>
      <c r="Q637" s="36"/>
      <c r="R637" s="119" t="str">
        <f>"バックアップ_"&amp;SUBSTITUTE(C637,"_結合","")</f>
        <v>バックアップ_MML共通</v>
      </c>
      <c r="S637" s="120"/>
      <c r="T637" s="123" t="str">
        <f>エンティティ一覧!$O$2</f>
        <v>milscm_2023_009</v>
      </c>
    </row>
    <row r="638" spans="2:23" ht="18.75" customHeight="1">
      <c r="C638" s="121"/>
      <c r="D638" s="122"/>
      <c r="E638" s="126"/>
      <c r="F638" s="37"/>
      <c r="G638" s="37"/>
      <c r="H638" s="37"/>
      <c r="I638" s="37"/>
      <c r="J638" s="37"/>
      <c r="K638" s="37"/>
      <c r="L638" s="37"/>
      <c r="M638" s="37"/>
      <c r="N638" s="37"/>
      <c r="O638" s="37"/>
      <c r="P638" s="37"/>
      <c r="Q638" s="37"/>
      <c r="R638" s="121"/>
      <c r="S638" s="122"/>
      <c r="T638" s="124"/>
    </row>
    <row r="639" spans="2:23" ht="18.75" customHeight="1">
      <c r="K639" s="39"/>
      <c r="L639" s="101"/>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3605</v>
      </c>
      <c r="D642" s="88"/>
      <c r="W642" s="35" t="str">
        <f>"-- "&amp;B642&amp;" : "&amp;C642</f>
        <v>-- SQL_ID : 01_A6-03</v>
      </c>
    </row>
    <row r="643" spans="2:23" ht="18.75" customHeight="1">
      <c r="B643" s="43" t="s">
        <v>158</v>
      </c>
      <c r="C643" s="127" t="str">
        <f>R646&amp;"登録"</f>
        <v>バックアップ_MML_診断履歴情報モジュール_本文登録</v>
      </c>
      <c r="D643" s="128"/>
      <c r="E643" s="128"/>
      <c r="F643" s="128"/>
      <c r="G643" s="128"/>
      <c r="H643" s="128"/>
      <c r="I643" s="128"/>
      <c r="J643" s="128"/>
      <c r="K643" s="128"/>
      <c r="L643" s="128"/>
      <c r="M643" s="128"/>
      <c r="N643" s="128"/>
      <c r="O643" s="128"/>
      <c r="P643" s="128"/>
      <c r="Q643" s="128"/>
      <c r="R643" s="128"/>
      <c r="S643" s="128"/>
      <c r="T643" s="128"/>
      <c r="U643" s="129"/>
      <c r="W643" s="35" t="str">
        <f>"-- "&amp;C643</f>
        <v>-- バックアップ_MML_診断履歴情報モジュール_本文登録</v>
      </c>
    </row>
    <row r="644" spans="2:23" ht="18.75" customHeight="1">
      <c r="B644" s="43" t="s">
        <v>159</v>
      </c>
      <c r="C644" s="130"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31"/>
      <c r="E644" s="131"/>
      <c r="F644" s="131"/>
      <c r="G644" s="131"/>
      <c r="H644" s="131"/>
      <c r="I644" s="131"/>
      <c r="J644" s="131"/>
      <c r="K644" s="131"/>
      <c r="L644" s="131"/>
      <c r="M644" s="131"/>
      <c r="N644" s="131"/>
      <c r="O644" s="131"/>
      <c r="P644" s="131"/>
      <c r="Q644" s="131"/>
      <c r="R644" s="131"/>
      <c r="S644" s="131"/>
      <c r="T644" s="131"/>
      <c r="U644" s="132"/>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19" t="s">
        <v>3606</v>
      </c>
      <c r="D646" s="120"/>
      <c r="E646" s="125" t="s">
        <v>162</v>
      </c>
      <c r="H646" s="36"/>
      <c r="I646" s="36"/>
      <c r="J646" s="36"/>
      <c r="K646" s="36"/>
      <c r="L646" s="36"/>
      <c r="M646" s="36"/>
      <c r="N646" s="36"/>
      <c r="O646" s="36"/>
      <c r="P646" s="36"/>
      <c r="Q646" s="36"/>
      <c r="R646" s="119" t="str">
        <f>"バックアップ_"&amp;SUBSTITUTE(C646,"_結合","")</f>
        <v>バックアップ_MML_診断履歴情報モジュール_本文</v>
      </c>
      <c r="S646" s="120"/>
      <c r="T646" s="123" t="str">
        <f>エンティティ一覧!$O$2</f>
        <v>milscm_2023_009</v>
      </c>
    </row>
    <row r="647" spans="2:23" ht="18.75" customHeight="1">
      <c r="C647" s="121"/>
      <c r="D647" s="122"/>
      <c r="E647" s="126"/>
      <c r="F647" s="37"/>
      <c r="G647" s="38"/>
      <c r="H647" s="37"/>
      <c r="I647" s="37"/>
      <c r="J647" s="37"/>
      <c r="K647" s="37"/>
      <c r="L647" s="37"/>
      <c r="M647" s="37"/>
      <c r="N647" s="37"/>
      <c r="O647" s="37"/>
      <c r="P647" s="37"/>
      <c r="Q647" s="37"/>
      <c r="R647" s="121"/>
      <c r="S647" s="122"/>
      <c r="T647" s="124"/>
    </row>
    <row r="648" spans="2:23" ht="18.75" customHeight="1">
      <c r="F648" s="39"/>
      <c r="G648" s="40"/>
    </row>
    <row r="649" spans="2:23" ht="18.75" customHeight="1">
      <c r="C649" s="119" t="s">
        <v>3183</v>
      </c>
      <c r="D649" s="120"/>
      <c r="E649" s="123" t="str">
        <f>エンティティ一覧!$O$2</f>
        <v>milscm_2023_009</v>
      </c>
      <c r="G649" s="41"/>
    </row>
    <row r="650" spans="2:23" ht="18.75" customHeight="1">
      <c r="C650" s="121"/>
      <c r="D650" s="122"/>
      <c r="E650" s="124"/>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3607</v>
      </c>
      <c r="D654" s="88"/>
      <c r="W654" s="35" t="str">
        <f>"-- "&amp;B654&amp;" : "&amp;C654</f>
        <v>-- SQL_ID : 01_A6-04</v>
      </c>
    </row>
    <row r="655" spans="2:23" ht="18.75" customHeight="1">
      <c r="B655" s="43" t="s">
        <v>158</v>
      </c>
      <c r="C655" s="127" t="str">
        <f>R658&amp;"登録"</f>
        <v>バックアップ_MML_診断履歴情報モジュール_病名登録</v>
      </c>
      <c r="D655" s="128"/>
      <c r="E655" s="128"/>
      <c r="F655" s="128"/>
      <c r="G655" s="128"/>
      <c r="H655" s="128"/>
      <c r="I655" s="128"/>
      <c r="J655" s="128"/>
      <c r="K655" s="128"/>
      <c r="L655" s="128"/>
      <c r="M655" s="128"/>
      <c r="N655" s="128"/>
      <c r="O655" s="128"/>
      <c r="P655" s="128"/>
      <c r="Q655" s="128"/>
      <c r="R655" s="128"/>
      <c r="S655" s="128"/>
      <c r="T655" s="128"/>
      <c r="U655" s="129"/>
      <c r="W655" s="35" t="str">
        <f>"-- "&amp;C655</f>
        <v>-- バックアップ_MML_診断履歴情報モジュール_病名登録</v>
      </c>
    </row>
    <row r="656" spans="2:23" ht="18.75" customHeight="1">
      <c r="B656" s="43" t="s">
        <v>159</v>
      </c>
      <c r="C656" s="130"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31"/>
      <c r="E656" s="131"/>
      <c r="F656" s="131"/>
      <c r="G656" s="131"/>
      <c r="H656" s="131"/>
      <c r="I656" s="131"/>
      <c r="J656" s="131"/>
      <c r="K656" s="131"/>
      <c r="L656" s="131"/>
      <c r="M656" s="131"/>
      <c r="N656" s="131"/>
      <c r="O656" s="131"/>
      <c r="P656" s="131"/>
      <c r="Q656" s="131"/>
      <c r="R656" s="131"/>
      <c r="S656" s="131"/>
      <c r="T656" s="131"/>
      <c r="U656" s="132"/>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19" t="s">
        <v>3608</v>
      </c>
      <c r="D658" s="120"/>
      <c r="E658" s="125" t="s">
        <v>162</v>
      </c>
      <c r="H658" s="36"/>
      <c r="I658" s="36"/>
      <c r="J658" s="36"/>
      <c r="K658" s="36"/>
      <c r="L658" s="36"/>
      <c r="M658" s="36"/>
      <c r="N658" s="36"/>
      <c r="O658" s="36"/>
      <c r="P658" s="36"/>
      <c r="Q658" s="36"/>
      <c r="R658" s="119" t="str">
        <f>"バックアップ_"&amp;SUBSTITUTE(C658,"_結合","")</f>
        <v>バックアップ_MML_診断履歴情報モジュール_病名</v>
      </c>
      <c r="S658" s="120"/>
      <c r="T658" s="123" t="str">
        <f>エンティティ一覧!$O$2</f>
        <v>milscm_2023_009</v>
      </c>
    </row>
    <row r="659" spans="2:23" ht="18.75" customHeight="1">
      <c r="C659" s="121"/>
      <c r="D659" s="122"/>
      <c r="E659" s="126"/>
      <c r="F659" s="37"/>
      <c r="G659" s="38"/>
      <c r="H659" s="37"/>
      <c r="I659" s="37"/>
      <c r="J659" s="37"/>
      <c r="K659" s="37"/>
      <c r="L659" s="37"/>
      <c r="M659" s="37"/>
      <c r="N659" s="37"/>
      <c r="O659" s="37"/>
      <c r="P659" s="37"/>
      <c r="Q659" s="37"/>
      <c r="R659" s="121"/>
      <c r="S659" s="122"/>
      <c r="T659" s="124"/>
    </row>
    <row r="660" spans="2:23" ht="18.75" customHeight="1">
      <c r="F660" s="39"/>
      <c r="G660" s="40"/>
    </row>
    <row r="661" spans="2:23" ht="18.75" customHeight="1">
      <c r="C661" s="119" t="s">
        <v>3183</v>
      </c>
      <c r="D661" s="120"/>
      <c r="E661" s="123" t="str">
        <f>エンティティ一覧!$O$2</f>
        <v>milscm_2023_009</v>
      </c>
      <c r="G661" s="41"/>
    </row>
    <row r="662" spans="2:23" ht="18.75" customHeight="1">
      <c r="C662" s="121"/>
      <c r="D662" s="122"/>
      <c r="E662" s="124"/>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3609</v>
      </c>
      <c r="D666" s="88"/>
      <c r="W666" s="35" t="str">
        <f>"-- "&amp;B666&amp;" : "&amp;C666</f>
        <v>-- SQL_ID : 01_A6-05</v>
      </c>
    </row>
    <row r="667" spans="2:23" ht="18.75" customHeight="1">
      <c r="B667" s="43" t="s">
        <v>158</v>
      </c>
      <c r="C667" s="127" t="str">
        <f>R670&amp;"登録"</f>
        <v>バックアップ_MML_診断履歴情報モジュール_カテゴリ名登録</v>
      </c>
      <c r="D667" s="128"/>
      <c r="E667" s="128"/>
      <c r="F667" s="128"/>
      <c r="G667" s="128"/>
      <c r="H667" s="128"/>
      <c r="I667" s="128"/>
      <c r="J667" s="128"/>
      <c r="K667" s="128"/>
      <c r="L667" s="128"/>
      <c r="M667" s="128"/>
      <c r="N667" s="128"/>
      <c r="O667" s="128"/>
      <c r="P667" s="128"/>
      <c r="Q667" s="128"/>
      <c r="R667" s="128"/>
      <c r="S667" s="128"/>
      <c r="T667" s="128"/>
      <c r="U667" s="129"/>
      <c r="W667" s="35" t="str">
        <f>"-- "&amp;C667</f>
        <v>-- バックアップ_MML_診断履歴情報モジュール_カテゴリ名登録</v>
      </c>
    </row>
    <row r="668" spans="2:23" ht="18.75" customHeight="1">
      <c r="B668" s="43" t="s">
        <v>159</v>
      </c>
      <c r="C668" s="130"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31"/>
      <c r="E668" s="131"/>
      <c r="F668" s="131"/>
      <c r="G668" s="131"/>
      <c r="H668" s="131"/>
      <c r="I668" s="131"/>
      <c r="J668" s="131"/>
      <c r="K668" s="131"/>
      <c r="L668" s="131"/>
      <c r="M668" s="131"/>
      <c r="N668" s="131"/>
      <c r="O668" s="131"/>
      <c r="P668" s="131"/>
      <c r="Q668" s="131"/>
      <c r="R668" s="131"/>
      <c r="S668" s="131"/>
      <c r="T668" s="131"/>
      <c r="U668" s="132"/>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19" t="s">
        <v>3610</v>
      </c>
      <c r="D670" s="120"/>
      <c r="E670" s="125" t="s">
        <v>162</v>
      </c>
      <c r="H670" s="36"/>
      <c r="I670" s="36"/>
      <c r="J670" s="36"/>
      <c r="K670" s="36"/>
      <c r="L670" s="36"/>
      <c r="M670" s="36"/>
      <c r="N670" s="36"/>
      <c r="O670" s="36"/>
      <c r="P670" s="36"/>
      <c r="Q670" s="36"/>
      <c r="R670" s="133" t="str">
        <f>"バックアップ_"&amp;SUBSTITUTE(C670,"_結合","")</f>
        <v>バックアップ_MML_診断履歴情報モジュール_カテゴリ名</v>
      </c>
      <c r="S670" s="134"/>
      <c r="T670" s="123" t="str">
        <f>エンティティ一覧!$O$2</f>
        <v>milscm_2023_009</v>
      </c>
    </row>
    <row r="671" spans="2:23" ht="18.75" customHeight="1">
      <c r="C671" s="121"/>
      <c r="D671" s="122"/>
      <c r="E671" s="126"/>
      <c r="F671" s="37"/>
      <c r="G671" s="38"/>
      <c r="H671" s="37"/>
      <c r="I671" s="37"/>
      <c r="J671" s="37"/>
      <c r="K671" s="37"/>
      <c r="L671" s="37"/>
      <c r="M671" s="37"/>
      <c r="N671" s="37"/>
      <c r="O671" s="37"/>
      <c r="P671" s="37"/>
      <c r="Q671" s="37"/>
      <c r="R671" s="135"/>
      <c r="S671" s="136"/>
      <c r="T671" s="124"/>
    </row>
    <row r="672" spans="2:23" ht="18.75" customHeight="1">
      <c r="F672" s="39"/>
      <c r="G672" s="40"/>
    </row>
    <row r="673" spans="2:23" ht="18.75" customHeight="1">
      <c r="C673" s="119" t="s">
        <v>3183</v>
      </c>
      <c r="D673" s="120"/>
      <c r="E673" s="123" t="str">
        <f>エンティティ一覧!$O$2</f>
        <v>milscm_2023_009</v>
      </c>
      <c r="G673" s="41"/>
    </row>
    <row r="674" spans="2:23" ht="18.75" customHeight="1">
      <c r="C674" s="121"/>
      <c r="D674" s="122"/>
      <c r="E674" s="124"/>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3971</v>
      </c>
      <c r="D678" s="100"/>
      <c r="W678" s="35" t="str">
        <f>"-- "&amp;B678&amp;" : "&amp;C678</f>
        <v>-- SQL_ID : 01_A6-18</v>
      </c>
    </row>
    <row r="679" spans="2:23" ht="18.75" customHeight="1">
      <c r="B679" s="43" t="s">
        <v>158</v>
      </c>
      <c r="C679" s="127" t="str">
        <f>R682&amp;"登録"</f>
        <v>バックアップ_MML_検歴情報モジュール_本文登録</v>
      </c>
      <c r="D679" s="128"/>
      <c r="E679" s="128"/>
      <c r="F679" s="128"/>
      <c r="G679" s="128"/>
      <c r="H679" s="128"/>
      <c r="I679" s="128"/>
      <c r="J679" s="128"/>
      <c r="K679" s="128"/>
      <c r="L679" s="128"/>
      <c r="M679" s="128"/>
      <c r="N679" s="128"/>
      <c r="O679" s="128"/>
      <c r="P679" s="128"/>
      <c r="Q679" s="128"/>
      <c r="R679" s="128"/>
      <c r="S679" s="128"/>
      <c r="T679" s="128"/>
      <c r="U679" s="129"/>
      <c r="W679" s="35" t="str">
        <f>"-- "&amp;C679</f>
        <v>-- バックアップ_MML_検歴情報モジュール_本文登録</v>
      </c>
    </row>
    <row r="680" spans="2:23" ht="18.75" customHeight="1">
      <c r="B680" s="43" t="s">
        <v>159</v>
      </c>
      <c r="C680" s="130"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31"/>
      <c r="E680" s="131"/>
      <c r="F680" s="131"/>
      <c r="G680" s="131"/>
      <c r="H680" s="131"/>
      <c r="I680" s="131"/>
      <c r="J680" s="131"/>
      <c r="K680" s="131"/>
      <c r="L680" s="131"/>
      <c r="M680" s="131"/>
      <c r="N680" s="131"/>
      <c r="O680" s="131"/>
      <c r="P680" s="131"/>
      <c r="Q680" s="131"/>
      <c r="R680" s="131"/>
      <c r="S680" s="131"/>
      <c r="T680" s="131"/>
      <c r="U680" s="132"/>
      <c r="W680" s="35" t="str">
        <f>"-- "&amp;C680</f>
        <v>-- MML_検歴情報モジュール_本文テーブルから名古屋第一の条件で絞り込んだ結果をバックアップ_MML_検歴情報モジュール_本文テーブルに格納する。</v>
      </c>
    </row>
    <row r="682" spans="2:23" ht="18.75" customHeight="1">
      <c r="C682" s="119" t="s">
        <v>3972</v>
      </c>
      <c r="D682" s="120"/>
      <c r="E682" s="125" t="s">
        <v>162</v>
      </c>
      <c r="F682" s="36"/>
      <c r="G682" s="36"/>
      <c r="H682" s="36"/>
      <c r="I682" s="36"/>
      <c r="J682" s="36"/>
      <c r="M682" s="36"/>
      <c r="N682" s="36"/>
      <c r="O682" s="36"/>
      <c r="P682" s="36"/>
      <c r="Q682" s="36"/>
      <c r="R682" s="119" t="str">
        <f>"バックアップ_"&amp;SUBSTITUTE(C682,"_結合","")</f>
        <v>バックアップ_MML_検歴情報モジュール_本文</v>
      </c>
      <c r="S682" s="120"/>
      <c r="T682" s="123" t="str">
        <f>エンティティ一覧!$O$2</f>
        <v>milscm_2023_009</v>
      </c>
    </row>
    <row r="683" spans="2:23" ht="18.75" customHeight="1">
      <c r="C683" s="121"/>
      <c r="D683" s="122"/>
      <c r="E683" s="126"/>
      <c r="F683" s="37"/>
      <c r="G683" s="37"/>
      <c r="H683" s="37"/>
      <c r="I683" s="37"/>
      <c r="J683" s="37"/>
      <c r="K683" s="37"/>
      <c r="L683" s="37"/>
      <c r="M683" s="37"/>
      <c r="N683" s="37"/>
      <c r="O683" s="37"/>
      <c r="P683" s="37"/>
      <c r="Q683" s="37"/>
      <c r="R683" s="121"/>
      <c r="S683" s="122"/>
      <c r="T683" s="124"/>
    </row>
    <row r="684" spans="2:23" ht="18.75" customHeight="1">
      <c r="K684" s="39"/>
      <c r="L684" s="101"/>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3973</v>
      </c>
      <c r="D687" s="100"/>
      <c r="W687" s="35" t="str">
        <f>"-- "&amp;B687&amp;" : "&amp;C687</f>
        <v>-- SQL_ID : 01_A6-19</v>
      </c>
    </row>
    <row r="688" spans="2:23" ht="18.75" customHeight="1">
      <c r="B688" s="43" t="s">
        <v>158</v>
      </c>
      <c r="C688" s="127" t="str">
        <f>R691&amp;"登録"</f>
        <v>バックアップ_MML_検歴情報モジュール_報告コメント登録</v>
      </c>
      <c r="D688" s="128"/>
      <c r="E688" s="128"/>
      <c r="F688" s="128"/>
      <c r="G688" s="128"/>
      <c r="H688" s="128"/>
      <c r="I688" s="128"/>
      <c r="J688" s="128"/>
      <c r="K688" s="128"/>
      <c r="L688" s="128"/>
      <c r="M688" s="128"/>
      <c r="N688" s="128"/>
      <c r="O688" s="128"/>
      <c r="P688" s="128"/>
      <c r="Q688" s="128"/>
      <c r="R688" s="128"/>
      <c r="S688" s="128"/>
      <c r="T688" s="128"/>
      <c r="U688" s="129"/>
      <c r="W688" s="35" t="str">
        <f>"-- "&amp;C688</f>
        <v>-- バックアップ_MML_検歴情報モジュール_報告コメント登録</v>
      </c>
    </row>
    <row r="689" spans="2:23" ht="18.75" customHeight="1">
      <c r="B689" s="43" t="s">
        <v>159</v>
      </c>
      <c r="C689" s="130"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31"/>
      <c r="E689" s="131"/>
      <c r="F689" s="131"/>
      <c r="G689" s="131"/>
      <c r="H689" s="131"/>
      <c r="I689" s="131"/>
      <c r="J689" s="131"/>
      <c r="K689" s="131"/>
      <c r="L689" s="131"/>
      <c r="M689" s="131"/>
      <c r="N689" s="131"/>
      <c r="O689" s="131"/>
      <c r="P689" s="131"/>
      <c r="Q689" s="131"/>
      <c r="R689" s="131"/>
      <c r="S689" s="131"/>
      <c r="T689" s="131"/>
      <c r="U689" s="132"/>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19" t="s">
        <v>3974</v>
      </c>
      <c r="D691" s="120"/>
      <c r="E691" s="125" t="s">
        <v>162</v>
      </c>
      <c r="F691" s="36"/>
      <c r="G691" s="36"/>
      <c r="H691" s="36"/>
      <c r="I691" s="36"/>
      <c r="J691" s="36"/>
      <c r="M691" s="36"/>
      <c r="N691" s="36"/>
      <c r="O691" s="36"/>
      <c r="P691" s="36"/>
      <c r="Q691" s="36"/>
      <c r="R691" s="119" t="str">
        <f>"バックアップ_"&amp;SUBSTITUTE(C691,"_結合","")</f>
        <v>バックアップ_MML_検歴情報モジュール_報告コメント</v>
      </c>
      <c r="S691" s="120"/>
      <c r="T691" s="123" t="str">
        <f>エンティティ一覧!$O$2</f>
        <v>milscm_2023_009</v>
      </c>
    </row>
    <row r="692" spans="2:23" ht="18.75" customHeight="1">
      <c r="C692" s="121"/>
      <c r="D692" s="122"/>
      <c r="E692" s="126"/>
      <c r="F692" s="37"/>
      <c r="G692" s="37"/>
      <c r="H692" s="37"/>
      <c r="I692" s="37"/>
      <c r="J692" s="37"/>
      <c r="K692" s="37"/>
      <c r="L692" s="37"/>
      <c r="M692" s="37"/>
      <c r="N692" s="37"/>
      <c r="O692" s="37"/>
      <c r="P692" s="37"/>
      <c r="Q692" s="37"/>
      <c r="R692" s="121"/>
      <c r="S692" s="122"/>
      <c r="T692" s="124"/>
    </row>
    <row r="693" spans="2:23" ht="18.75" customHeight="1">
      <c r="K693" s="39"/>
      <c r="L693" s="101"/>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3975</v>
      </c>
      <c r="D696" s="100"/>
      <c r="W696" s="35" t="str">
        <f>"-- "&amp;B696&amp;" : "&amp;C696</f>
        <v>-- SQL_ID : 01_A6-20</v>
      </c>
    </row>
    <row r="697" spans="2:23" ht="18.75" customHeight="1">
      <c r="B697" s="43" t="s">
        <v>158</v>
      </c>
      <c r="C697" s="127" t="str">
        <f>R700&amp;"登録"</f>
        <v>バックアップ_MML_検歴情報モジュール_検体検査結果情報登録</v>
      </c>
      <c r="D697" s="128"/>
      <c r="E697" s="128"/>
      <c r="F697" s="128"/>
      <c r="G697" s="128"/>
      <c r="H697" s="128"/>
      <c r="I697" s="128"/>
      <c r="J697" s="128"/>
      <c r="K697" s="128"/>
      <c r="L697" s="128"/>
      <c r="M697" s="128"/>
      <c r="N697" s="128"/>
      <c r="O697" s="128"/>
      <c r="P697" s="128"/>
      <c r="Q697" s="128"/>
      <c r="R697" s="128"/>
      <c r="S697" s="128"/>
      <c r="T697" s="128"/>
      <c r="U697" s="129"/>
      <c r="W697" s="35" t="str">
        <f>"-- "&amp;C697</f>
        <v>-- バックアップ_MML_検歴情報モジュール_検体検査結果情報登録</v>
      </c>
    </row>
    <row r="698" spans="2:23" ht="18.75" customHeight="1">
      <c r="B698" s="43" t="s">
        <v>159</v>
      </c>
      <c r="C698" s="130"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31"/>
      <c r="E698" s="131"/>
      <c r="F698" s="131"/>
      <c r="G698" s="131"/>
      <c r="H698" s="131"/>
      <c r="I698" s="131"/>
      <c r="J698" s="131"/>
      <c r="K698" s="131"/>
      <c r="L698" s="131"/>
      <c r="M698" s="131"/>
      <c r="N698" s="131"/>
      <c r="O698" s="131"/>
      <c r="P698" s="131"/>
      <c r="Q698" s="131"/>
      <c r="R698" s="131"/>
      <c r="S698" s="131"/>
      <c r="T698" s="131"/>
      <c r="U698" s="132"/>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19" t="s">
        <v>3976</v>
      </c>
      <c r="D700" s="120"/>
      <c r="E700" s="125" t="s">
        <v>162</v>
      </c>
      <c r="F700" s="36"/>
      <c r="G700" s="36"/>
      <c r="H700" s="36"/>
      <c r="I700" s="36"/>
      <c r="J700" s="36"/>
      <c r="M700" s="36"/>
      <c r="N700" s="36"/>
      <c r="O700" s="36"/>
      <c r="P700" s="36"/>
      <c r="Q700" s="36"/>
      <c r="R700" s="119" t="str">
        <f>"バックアップ_"&amp;SUBSTITUTE(C700,"_結合","")</f>
        <v>バックアップ_MML_検歴情報モジュール_検体検査結果情報</v>
      </c>
      <c r="S700" s="120"/>
      <c r="T700" s="123" t="str">
        <f>エンティティ一覧!$O$2</f>
        <v>milscm_2023_009</v>
      </c>
    </row>
    <row r="701" spans="2:23" ht="18.75" customHeight="1">
      <c r="C701" s="121"/>
      <c r="D701" s="122"/>
      <c r="E701" s="126"/>
      <c r="F701" s="37"/>
      <c r="G701" s="37"/>
      <c r="H701" s="37"/>
      <c r="I701" s="37"/>
      <c r="J701" s="37"/>
      <c r="K701" s="37"/>
      <c r="L701" s="37"/>
      <c r="M701" s="37"/>
      <c r="N701" s="37"/>
      <c r="O701" s="37"/>
      <c r="P701" s="37"/>
      <c r="Q701" s="37"/>
      <c r="R701" s="121"/>
      <c r="S701" s="122"/>
      <c r="T701" s="124"/>
    </row>
    <row r="702" spans="2:23" ht="18.75" customHeight="1">
      <c r="K702" s="39"/>
      <c r="L702" s="101"/>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3977</v>
      </c>
      <c r="D705" s="100"/>
      <c r="W705" s="35" t="str">
        <f>"-- "&amp;B705&amp;" : "&amp;C705</f>
        <v>-- SQL_ID : 01_A6-21</v>
      </c>
    </row>
    <row r="706" spans="2:23" ht="18.75" customHeight="1">
      <c r="B706" s="43" t="s">
        <v>158</v>
      </c>
      <c r="C706" s="127" t="str">
        <f>R709&amp;"登録"</f>
        <v>バックアップ_MML_検歴情報モジュール_検体コメント登録</v>
      </c>
      <c r="D706" s="128"/>
      <c r="E706" s="128"/>
      <c r="F706" s="128"/>
      <c r="G706" s="128"/>
      <c r="H706" s="128"/>
      <c r="I706" s="128"/>
      <c r="J706" s="128"/>
      <c r="K706" s="128"/>
      <c r="L706" s="128"/>
      <c r="M706" s="128"/>
      <c r="N706" s="128"/>
      <c r="O706" s="128"/>
      <c r="P706" s="128"/>
      <c r="Q706" s="128"/>
      <c r="R706" s="128"/>
      <c r="S706" s="128"/>
      <c r="T706" s="128"/>
      <c r="U706" s="129"/>
      <c r="W706" s="35" t="str">
        <f>"-- "&amp;C706</f>
        <v>-- バックアップ_MML_検歴情報モジュール_検体コメント登録</v>
      </c>
    </row>
    <row r="707" spans="2:23" ht="18.75" customHeight="1">
      <c r="B707" s="43" t="s">
        <v>159</v>
      </c>
      <c r="C707" s="130"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31"/>
      <c r="E707" s="131"/>
      <c r="F707" s="131"/>
      <c r="G707" s="131"/>
      <c r="H707" s="131"/>
      <c r="I707" s="131"/>
      <c r="J707" s="131"/>
      <c r="K707" s="131"/>
      <c r="L707" s="131"/>
      <c r="M707" s="131"/>
      <c r="N707" s="131"/>
      <c r="O707" s="131"/>
      <c r="P707" s="131"/>
      <c r="Q707" s="131"/>
      <c r="R707" s="131"/>
      <c r="S707" s="131"/>
      <c r="T707" s="131"/>
      <c r="U707" s="132"/>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19" t="s">
        <v>3978</v>
      </c>
      <c r="D709" s="120"/>
      <c r="E709" s="125" t="s">
        <v>162</v>
      </c>
      <c r="F709" s="36"/>
      <c r="G709" s="36"/>
      <c r="H709" s="36"/>
      <c r="I709" s="36"/>
      <c r="J709" s="36"/>
      <c r="M709" s="36"/>
      <c r="N709" s="36"/>
      <c r="O709" s="36"/>
      <c r="P709" s="36"/>
      <c r="Q709" s="36"/>
      <c r="R709" s="119" t="str">
        <f>"バックアップ_"&amp;SUBSTITUTE(C709,"_結合","")</f>
        <v>バックアップ_MML_検歴情報モジュール_検体コメント</v>
      </c>
      <c r="S709" s="120"/>
      <c r="T709" s="123" t="str">
        <f>エンティティ一覧!$O$2</f>
        <v>milscm_2023_009</v>
      </c>
    </row>
    <row r="710" spans="2:23" ht="18.75" customHeight="1">
      <c r="C710" s="121"/>
      <c r="D710" s="122"/>
      <c r="E710" s="126"/>
      <c r="F710" s="37"/>
      <c r="G710" s="37"/>
      <c r="H710" s="37"/>
      <c r="I710" s="37"/>
      <c r="J710" s="37"/>
      <c r="K710" s="37"/>
      <c r="L710" s="37"/>
      <c r="M710" s="37"/>
      <c r="N710" s="37"/>
      <c r="O710" s="37"/>
      <c r="P710" s="37"/>
      <c r="Q710" s="37"/>
      <c r="R710" s="121"/>
      <c r="S710" s="122"/>
      <c r="T710" s="124"/>
    </row>
    <row r="711" spans="2:23" ht="18.75" customHeight="1">
      <c r="K711" s="39"/>
      <c r="L711" s="101"/>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3979</v>
      </c>
      <c r="D714" s="100"/>
      <c r="W714" s="35" t="str">
        <f>"-- "&amp;B714&amp;" : "&amp;C714</f>
        <v>-- SQL_ID : 01_A6-22</v>
      </c>
    </row>
    <row r="715" spans="2:23" ht="18.75" customHeight="1">
      <c r="B715" s="43" t="s">
        <v>158</v>
      </c>
      <c r="C715" s="127" t="str">
        <f>R718&amp;"登録"</f>
        <v>バックアップ_MML_検歴情報モジュール_検査項目登録</v>
      </c>
      <c r="D715" s="128"/>
      <c r="E715" s="128"/>
      <c r="F715" s="128"/>
      <c r="G715" s="128"/>
      <c r="H715" s="128"/>
      <c r="I715" s="128"/>
      <c r="J715" s="128"/>
      <c r="K715" s="128"/>
      <c r="L715" s="128"/>
      <c r="M715" s="128"/>
      <c r="N715" s="128"/>
      <c r="O715" s="128"/>
      <c r="P715" s="128"/>
      <c r="Q715" s="128"/>
      <c r="R715" s="128"/>
      <c r="S715" s="128"/>
      <c r="T715" s="128"/>
      <c r="U715" s="129"/>
      <c r="W715" s="35" t="str">
        <f>"-- "&amp;C715</f>
        <v>-- バックアップ_MML_検歴情報モジュール_検査項目登録</v>
      </c>
    </row>
    <row r="716" spans="2:23" ht="18.75" customHeight="1">
      <c r="B716" s="43" t="s">
        <v>159</v>
      </c>
      <c r="C716" s="130"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31"/>
      <c r="E716" s="131"/>
      <c r="F716" s="131"/>
      <c r="G716" s="131"/>
      <c r="H716" s="131"/>
      <c r="I716" s="131"/>
      <c r="J716" s="131"/>
      <c r="K716" s="131"/>
      <c r="L716" s="131"/>
      <c r="M716" s="131"/>
      <c r="N716" s="131"/>
      <c r="O716" s="131"/>
      <c r="P716" s="131"/>
      <c r="Q716" s="131"/>
      <c r="R716" s="131"/>
      <c r="S716" s="131"/>
      <c r="T716" s="131"/>
      <c r="U716" s="132"/>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19" t="s">
        <v>3980</v>
      </c>
      <c r="D718" s="120"/>
      <c r="E718" s="125" t="s">
        <v>162</v>
      </c>
      <c r="F718" s="36"/>
      <c r="G718" s="36"/>
      <c r="H718" s="36"/>
      <c r="I718" s="36"/>
      <c r="J718" s="36"/>
      <c r="M718" s="36"/>
      <c r="N718" s="36"/>
      <c r="O718" s="36"/>
      <c r="P718" s="36"/>
      <c r="Q718" s="36"/>
      <c r="R718" s="119" t="str">
        <f>"バックアップ_"&amp;SUBSTITUTE(C718,"_結合","")</f>
        <v>バックアップ_MML_検歴情報モジュール_検査項目</v>
      </c>
      <c r="S718" s="120"/>
      <c r="T718" s="123" t="str">
        <f>エンティティ一覧!$O$2</f>
        <v>milscm_2023_009</v>
      </c>
    </row>
    <row r="719" spans="2:23" ht="18.75" customHeight="1">
      <c r="C719" s="121"/>
      <c r="D719" s="122"/>
      <c r="E719" s="126"/>
      <c r="F719" s="37"/>
      <c r="G719" s="37"/>
      <c r="H719" s="37"/>
      <c r="I719" s="37"/>
      <c r="J719" s="37"/>
      <c r="K719" s="37"/>
      <c r="L719" s="37"/>
      <c r="M719" s="37"/>
      <c r="N719" s="37"/>
      <c r="O719" s="37"/>
      <c r="P719" s="37"/>
      <c r="Q719" s="37"/>
      <c r="R719" s="121"/>
      <c r="S719" s="122"/>
      <c r="T719" s="124"/>
    </row>
    <row r="720" spans="2:23" ht="18.75" customHeight="1">
      <c r="K720" s="39"/>
      <c r="L720" s="101"/>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3981</v>
      </c>
      <c r="D723" s="100"/>
      <c r="W723" s="35" t="str">
        <f>"-- "&amp;B723&amp;" : "&amp;C723</f>
        <v>-- SQL_ID : 01_A6-23</v>
      </c>
    </row>
    <row r="724" spans="2:23" ht="18.75" customHeight="1">
      <c r="B724" s="43" t="s">
        <v>158</v>
      </c>
      <c r="C724" s="127" t="str">
        <f>R727&amp;"登録"</f>
        <v>バックアップ_MML_検歴情報モジュール_検査項目コメント登録</v>
      </c>
      <c r="D724" s="128"/>
      <c r="E724" s="128"/>
      <c r="F724" s="128"/>
      <c r="G724" s="128"/>
      <c r="H724" s="128"/>
      <c r="I724" s="128"/>
      <c r="J724" s="128"/>
      <c r="K724" s="128"/>
      <c r="L724" s="128"/>
      <c r="M724" s="128"/>
      <c r="N724" s="128"/>
      <c r="O724" s="128"/>
      <c r="P724" s="128"/>
      <c r="Q724" s="128"/>
      <c r="R724" s="128"/>
      <c r="S724" s="128"/>
      <c r="T724" s="128"/>
      <c r="U724" s="129"/>
      <c r="W724" s="35" t="str">
        <f>"-- "&amp;C724</f>
        <v>-- バックアップ_MML_検歴情報モジュール_検査項目コメント登録</v>
      </c>
    </row>
    <row r="725" spans="2:23" ht="18.75" customHeight="1">
      <c r="B725" s="43" t="s">
        <v>159</v>
      </c>
      <c r="C725" s="130"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31"/>
      <c r="E725" s="131"/>
      <c r="F725" s="131"/>
      <c r="G725" s="131"/>
      <c r="H725" s="131"/>
      <c r="I725" s="131"/>
      <c r="J725" s="131"/>
      <c r="K725" s="131"/>
      <c r="L725" s="131"/>
      <c r="M725" s="131"/>
      <c r="N725" s="131"/>
      <c r="O725" s="131"/>
      <c r="P725" s="131"/>
      <c r="Q725" s="131"/>
      <c r="R725" s="131"/>
      <c r="S725" s="131"/>
      <c r="T725" s="131"/>
      <c r="U725" s="132"/>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19" t="s">
        <v>3982</v>
      </c>
      <c r="D727" s="120"/>
      <c r="E727" s="125" t="s">
        <v>162</v>
      </c>
      <c r="F727" s="36"/>
      <c r="G727" s="36"/>
      <c r="H727" s="36"/>
      <c r="I727" s="36"/>
      <c r="J727" s="36"/>
      <c r="M727" s="36"/>
      <c r="N727" s="36"/>
      <c r="O727" s="36"/>
      <c r="P727" s="36"/>
      <c r="Q727" s="36"/>
      <c r="R727" s="133" t="str">
        <f>"バックアップ_"&amp;SUBSTITUTE(C727,"_結合","")</f>
        <v>バックアップ_MML_検歴情報モジュール_検査項目コメント</v>
      </c>
      <c r="S727" s="134"/>
      <c r="T727" s="123" t="str">
        <f>エンティティ一覧!$O$2</f>
        <v>milscm_2023_009</v>
      </c>
    </row>
    <row r="728" spans="2:23" ht="18.75" customHeight="1">
      <c r="C728" s="121"/>
      <c r="D728" s="122"/>
      <c r="E728" s="126"/>
      <c r="F728" s="37"/>
      <c r="G728" s="37"/>
      <c r="H728" s="37"/>
      <c r="I728" s="37"/>
      <c r="J728" s="37"/>
      <c r="K728" s="37"/>
      <c r="L728" s="37"/>
      <c r="M728" s="37"/>
      <c r="N728" s="37"/>
      <c r="O728" s="37"/>
      <c r="P728" s="37"/>
      <c r="Q728" s="37"/>
      <c r="R728" s="135"/>
      <c r="S728" s="136"/>
      <c r="T728" s="124"/>
    </row>
    <row r="729" spans="2:23" ht="18.75" customHeight="1">
      <c r="K729" s="39"/>
      <c r="L729" s="101"/>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3611</v>
      </c>
      <c r="D732" s="88"/>
      <c r="W732" s="35" t="str">
        <f>"-- "&amp;B732&amp;" : "&amp;C732</f>
        <v>-- SQL_ID : 01_A6-24</v>
      </c>
    </row>
    <row r="733" spans="2:23" ht="18.75" customHeight="1">
      <c r="B733" s="43" t="s">
        <v>158</v>
      </c>
      <c r="C733" s="127" t="str">
        <f>R736&amp;"登録"</f>
        <v>バックアップ_MML_処方箋モジュール_本文登録</v>
      </c>
      <c r="D733" s="128"/>
      <c r="E733" s="128"/>
      <c r="F733" s="128"/>
      <c r="G733" s="128"/>
      <c r="H733" s="128"/>
      <c r="I733" s="128"/>
      <c r="J733" s="128"/>
      <c r="K733" s="128"/>
      <c r="L733" s="128"/>
      <c r="M733" s="128"/>
      <c r="N733" s="128"/>
      <c r="O733" s="128"/>
      <c r="P733" s="128"/>
      <c r="Q733" s="128"/>
      <c r="R733" s="128"/>
      <c r="S733" s="128"/>
      <c r="T733" s="128"/>
      <c r="U733" s="129"/>
      <c r="W733" s="35" t="str">
        <f>"-- "&amp;C733</f>
        <v>-- バックアップ_MML_処方箋モジュール_本文登録</v>
      </c>
    </row>
    <row r="734" spans="2:23" ht="18.75" customHeight="1">
      <c r="B734" s="43" t="s">
        <v>159</v>
      </c>
      <c r="C734" s="130"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31"/>
      <c r="E734" s="131"/>
      <c r="F734" s="131"/>
      <c r="G734" s="131"/>
      <c r="H734" s="131"/>
      <c r="I734" s="131"/>
      <c r="J734" s="131"/>
      <c r="K734" s="131"/>
      <c r="L734" s="131"/>
      <c r="M734" s="131"/>
      <c r="N734" s="131"/>
      <c r="O734" s="131"/>
      <c r="P734" s="131"/>
      <c r="Q734" s="131"/>
      <c r="R734" s="131"/>
      <c r="S734" s="131"/>
      <c r="T734" s="131"/>
      <c r="U734" s="132"/>
      <c r="W734" s="35" t="str">
        <f>"-- "&amp;C734</f>
        <v>-- MML_処方箋モジュール_本文テーブルから組入れ条件の第一条件で絞り込んだ結果をバックアップ_MML_処方箋モジュール_本文テーブルに格納する。</v>
      </c>
    </row>
    <row r="736" spans="2:23" ht="18.75" customHeight="1">
      <c r="C736" s="119" t="s">
        <v>3612</v>
      </c>
      <c r="D736" s="120"/>
      <c r="E736" s="125" t="s">
        <v>162</v>
      </c>
      <c r="H736" s="36"/>
      <c r="I736" s="36"/>
      <c r="J736" s="36"/>
      <c r="K736" s="36"/>
      <c r="L736" s="36"/>
      <c r="M736" s="36"/>
      <c r="N736" s="36"/>
      <c r="O736" s="36"/>
      <c r="P736" s="36"/>
      <c r="Q736" s="36"/>
      <c r="R736" s="119" t="str">
        <f>"バックアップ_"&amp;SUBSTITUTE(C736,"_結合","")</f>
        <v>バックアップ_MML_処方箋モジュール_本文</v>
      </c>
      <c r="S736" s="120"/>
      <c r="T736" s="123" t="str">
        <f>エンティティ一覧!$O$2</f>
        <v>milscm_2023_009</v>
      </c>
    </row>
    <row r="737" spans="2:23" ht="18.75" customHeight="1">
      <c r="C737" s="121"/>
      <c r="D737" s="122"/>
      <c r="E737" s="126"/>
      <c r="F737" s="37"/>
      <c r="G737" s="38"/>
      <c r="H737" s="37"/>
      <c r="I737" s="37"/>
      <c r="J737" s="37"/>
      <c r="K737" s="37"/>
      <c r="L737" s="37"/>
      <c r="M737" s="37"/>
      <c r="N737" s="37"/>
      <c r="O737" s="37"/>
      <c r="P737" s="37"/>
      <c r="Q737" s="37"/>
      <c r="R737" s="121"/>
      <c r="S737" s="122"/>
      <c r="T737" s="124"/>
    </row>
    <row r="738" spans="2:23" ht="18.75" customHeight="1">
      <c r="F738" s="39"/>
      <c r="G738" s="40"/>
    </row>
    <row r="739" spans="2:23" ht="18.75" customHeight="1">
      <c r="C739" s="119" t="s">
        <v>3183</v>
      </c>
      <c r="D739" s="120"/>
      <c r="E739" s="123" t="str">
        <f>エンティティ一覧!$O$2</f>
        <v>milscm_2023_009</v>
      </c>
      <c r="G739" s="41"/>
    </row>
    <row r="740" spans="2:23" ht="18.75" customHeight="1">
      <c r="C740" s="121"/>
      <c r="D740" s="122"/>
      <c r="E740" s="124"/>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3613</v>
      </c>
      <c r="D744" s="88"/>
      <c r="W744" s="35" t="str">
        <f>"-- "&amp;B744&amp;" : "&amp;C744</f>
        <v>-- SQL_ID : 01_A6-25</v>
      </c>
    </row>
    <row r="745" spans="2:23" ht="18.75" customHeight="1">
      <c r="B745" s="43" t="s">
        <v>158</v>
      </c>
      <c r="C745" s="127" t="str">
        <f>R748&amp;"登録"</f>
        <v>バックアップ_MML_処方箋モジュール_投薬登録</v>
      </c>
      <c r="D745" s="128"/>
      <c r="E745" s="128"/>
      <c r="F745" s="128"/>
      <c r="G745" s="128"/>
      <c r="H745" s="128"/>
      <c r="I745" s="128"/>
      <c r="J745" s="128"/>
      <c r="K745" s="128"/>
      <c r="L745" s="128"/>
      <c r="M745" s="128"/>
      <c r="N745" s="128"/>
      <c r="O745" s="128"/>
      <c r="P745" s="128"/>
      <c r="Q745" s="128"/>
      <c r="R745" s="128"/>
      <c r="S745" s="128"/>
      <c r="T745" s="128"/>
      <c r="U745" s="129"/>
      <c r="W745" s="35" t="str">
        <f>"-- "&amp;C745</f>
        <v>-- バックアップ_MML_処方箋モジュール_投薬登録</v>
      </c>
    </row>
    <row r="746" spans="2:23" ht="18.75" customHeight="1">
      <c r="B746" s="43" t="s">
        <v>159</v>
      </c>
      <c r="C746" s="130"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31"/>
      <c r="E746" s="131"/>
      <c r="F746" s="131"/>
      <c r="G746" s="131"/>
      <c r="H746" s="131"/>
      <c r="I746" s="131"/>
      <c r="J746" s="131"/>
      <c r="K746" s="131"/>
      <c r="L746" s="131"/>
      <c r="M746" s="131"/>
      <c r="N746" s="131"/>
      <c r="O746" s="131"/>
      <c r="P746" s="131"/>
      <c r="Q746" s="131"/>
      <c r="R746" s="131"/>
      <c r="S746" s="131"/>
      <c r="T746" s="131"/>
      <c r="U746" s="132"/>
      <c r="W746" s="35" t="str">
        <f>"-- "&amp;C746</f>
        <v>-- MML_処方箋モジュール_投薬テーブルから組入れ条件の第一条件で絞り込んだ結果をバックアップ_MML_処方箋モジュール_投薬テーブルに格納する。</v>
      </c>
    </row>
    <row r="748" spans="2:23" ht="18.75" customHeight="1">
      <c r="C748" s="119" t="s">
        <v>3614</v>
      </c>
      <c r="D748" s="120"/>
      <c r="E748" s="125" t="s">
        <v>162</v>
      </c>
      <c r="H748" s="36"/>
      <c r="I748" s="36"/>
      <c r="J748" s="36"/>
      <c r="K748" s="36"/>
      <c r="L748" s="36"/>
      <c r="M748" s="36"/>
      <c r="N748" s="36"/>
      <c r="O748" s="36"/>
      <c r="P748" s="36"/>
      <c r="Q748" s="36"/>
      <c r="R748" s="119" t="str">
        <f>"バックアップ_"&amp;SUBSTITUTE(C748,"_結合","")</f>
        <v>バックアップ_MML_処方箋モジュール_投薬</v>
      </c>
      <c r="S748" s="120"/>
      <c r="T748" s="123" t="str">
        <f>エンティティ一覧!$O$2</f>
        <v>milscm_2023_009</v>
      </c>
    </row>
    <row r="749" spans="2:23" ht="18.75" customHeight="1">
      <c r="C749" s="121"/>
      <c r="D749" s="122"/>
      <c r="E749" s="126"/>
      <c r="F749" s="37"/>
      <c r="G749" s="38"/>
      <c r="H749" s="37"/>
      <c r="I749" s="37"/>
      <c r="J749" s="37"/>
      <c r="K749" s="37"/>
      <c r="L749" s="37"/>
      <c r="M749" s="37"/>
      <c r="N749" s="37"/>
      <c r="O749" s="37"/>
      <c r="P749" s="37"/>
      <c r="Q749" s="37"/>
      <c r="R749" s="121"/>
      <c r="S749" s="122"/>
      <c r="T749" s="124"/>
    </row>
    <row r="750" spans="2:23" ht="18.75" customHeight="1">
      <c r="F750" s="39"/>
      <c r="G750" s="40"/>
    </row>
    <row r="751" spans="2:23" ht="18.75" customHeight="1">
      <c r="C751" s="119" t="s">
        <v>3183</v>
      </c>
      <c r="D751" s="120"/>
      <c r="E751" s="123" t="str">
        <f>エンティティ一覧!$O$2</f>
        <v>milscm_2023_009</v>
      </c>
      <c r="G751" s="41"/>
    </row>
    <row r="752" spans="2:23" ht="18.75" customHeight="1">
      <c r="C752" s="121"/>
      <c r="D752" s="122"/>
      <c r="E752" s="124"/>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3615</v>
      </c>
      <c r="D756" s="88"/>
      <c r="W756" s="35" t="str">
        <f>"-- "&amp;B756&amp;" : "&amp;C756</f>
        <v>-- SQL_ID : 01_A6-26</v>
      </c>
    </row>
    <row r="757" spans="2:23" ht="18.75" customHeight="1">
      <c r="B757" s="43" t="s">
        <v>158</v>
      </c>
      <c r="C757" s="127" t="str">
        <f>R760&amp;"登録"</f>
        <v>バックアップ_MML_処方箋モジュール_薬剤登録</v>
      </c>
      <c r="D757" s="128"/>
      <c r="E757" s="128"/>
      <c r="F757" s="128"/>
      <c r="G757" s="128"/>
      <c r="H757" s="128"/>
      <c r="I757" s="128"/>
      <c r="J757" s="128"/>
      <c r="K757" s="128"/>
      <c r="L757" s="128"/>
      <c r="M757" s="128"/>
      <c r="N757" s="128"/>
      <c r="O757" s="128"/>
      <c r="P757" s="128"/>
      <c r="Q757" s="128"/>
      <c r="R757" s="128"/>
      <c r="S757" s="128"/>
      <c r="T757" s="128"/>
      <c r="U757" s="129"/>
      <c r="W757" s="35" t="str">
        <f>"-- "&amp;C757</f>
        <v>-- バックアップ_MML_処方箋モジュール_薬剤登録</v>
      </c>
    </row>
    <row r="758" spans="2:23" ht="18.75" customHeight="1">
      <c r="B758" s="43" t="s">
        <v>159</v>
      </c>
      <c r="C758" s="130"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31"/>
      <c r="E758" s="131"/>
      <c r="F758" s="131"/>
      <c r="G758" s="131"/>
      <c r="H758" s="131"/>
      <c r="I758" s="131"/>
      <c r="J758" s="131"/>
      <c r="K758" s="131"/>
      <c r="L758" s="131"/>
      <c r="M758" s="131"/>
      <c r="N758" s="131"/>
      <c r="O758" s="131"/>
      <c r="P758" s="131"/>
      <c r="Q758" s="131"/>
      <c r="R758" s="131"/>
      <c r="S758" s="131"/>
      <c r="T758" s="131"/>
      <c r="U758" s="132"/>
      <c r="W758" s="35" t="str">
        <f>"-- "&amp;C758</f>
        <v>-- MML_処方箋モジュール_薬剤テーブルから組入れ条件の第一条件で絞り込んだ結果をバックアップ_MML_処方箋モジュール_薬剤テーブルに格納する。</v>
      </c>
    </row>
    <row r="760" spans="2:23" ht="18.75" customHeight="1">
      <c r="C760" s="119" t="s">
        <v>3616</v>
      </c>
      <c r="D760" s="120"/>
      <c r="E760" s="125" t="s">
        <v>162</v>
      </c>
      <c r="H760" s="36"/>
      <c r="I760" s="36"/>
      <c r="J760" s="36"/>
      <c r="K760" s="36"/>
      <c r="L760" s="36"/>
      <c r="M760" s="36"/>
      <c r="N760" s="36"/>
      <c r="O760" s="36"/>
      <c r="P760" s="36"/>
      <c r="Q760" s="36"/>
      <c r="R760" s="119" t="str">
        <f>"バックアップ_"&amp;SUBSTITUTE(C760,"_結合","")</f>
        <v>バックアップ_MML_処方箋モジュール_薬剤</v>
      </c>
      <c r="S760" s="120"/>
      <c r="T760" s="123" t="str">
        <f>エンティティ一覧!$O$2</f>
        <v>milscm_2023_009</v>
      </c>
    </row>
    <row r="761" spans="2:23" ht="18.75" customHeight="1">
      <c r="C761" s="121"/>
      <c r="D761" s="122"/>
      <c r="E761" s="126"/>
      <c r="F761" s="37"/>
      <c r="G761" s="38"/>
      <c r="H761" s="37"/>
      <c r="I761" s="37"/>
      <c r="J761" s="37"/>
      <c r="K761" s="37"/>
      <c r="L761" s="37"/>
      <c r="M761" s="37"/>
      <c r="N761" s="37"/>
      <c r="O761" s="37"/>
      <c r="P761" s="37"/>
      <c r="Q761" s="37"/>
      <c r="R761" s="121"/>
      <c r="S761" s="122"/>
      <c r="T761" s="124"/>
    </row>
    <row r="762" spans="2:23" ht="18.75" customHeight="1">
      <c r="F762" s="39"/>
      <c r="G762" s="40"/>
    </row>
    <row r="763" spans="2:23" ht="18.75" customHeight="1">
      <c r="C763" s="119" t="s">
        <v>3183</v>
      </c>
      <c r="D763" s="120"/>
      <c r="E763" s="123" t="str">
        <f>エンティティ一覧!$O$2</f>
        <v>milscm_2023_009</v>
      </c>
      <c r="G763" s="41"/>
    </row>
    <row r="764" spans="2:23" ht="18.75" customHeight="1">
      <c r="C764" s="121"/>
      <c r="D764" s="122"/>
      <c r="E764" s="124"/>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3617</v>
      </c>
      <c r="D768" s="88"/>
      <c r="W768" s="35" t="str">
        <f>"-- "&amp;B768&amp;" : "&amp;C768</f>
        <v>-- SQL_ID : 01_A6-27</v>
      </c>
    </row>
    <row r="769" spans="2:23" ht="18.75" customHeight="1">
      <c r="B769" s="43" t="s">
        <v>158</v>
      </c>
      <c r="C769" s="127" t="str">
        <f>R772&amp;"登録"</f>
        <v>バックアップ_MML_注射記録モジュール_本文登録</v>
      </c>
      <c r="D769" s="128"/>
      <c r="E769" s="128"/>
      <c r="F769" s="128"/>
      <c r="G769" s="128"/>
      <c r="H769" s="128"/>
      <c r="I769" s="128"/>
      <c r="J769" s="128"/>
      <c r="K769" s="128"/>
      <c r="L769" s="128"/>
      <c r="M769" s="128"/>
      <c r="N769" s="128"/>
      <c r="O769" s="128"/>
      <c r="P769" s="128"/>
      <c r="Q769" s="128"/>
      <c r="R769" s="128"/>
      <c r="S769" s="128"/>
      <c r="T769" s="128"/>
      <c r="U769" s="129"/>
      <c r="W769" s="35" t="str">
        <f>"-- "&amp;C769</f>
        <v>-- バックアップ_MML_注射記録モジュール_本文登録</v>
      </c>
    </row>
    <row r="770" spans="2:23" ht="18.75" customHeight="1">
      <c r="B770" s="43" t="s">
        <v>159</v>
      </c>
      <c r="C770" s="130"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31"/>
      <c r="E770" s="131"/>
      <c r="F770" s="131"/>
      <c r="G770" s="131"/>
      <c r="H770" s="131"/>
      <c r="I770" s="131"/>
      <c r="J770" s="131"/>
      <c r="K770" s="131"/>
      <c r="L770" s="131"/>
      <c r="M770" s="131"/>
      <c r="N770" s="131"/>
      <c r="O770" s="131"/>
      <c r="P770" s="131"/>
      <c r="Q770" s="131"/>
      <c r="R770" s="131"/>
      <c r="S770" s="131"/>
      <c r="T770" s="131"/>
      <c r="U770" s="132"/>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19" t="s">
        <v>3618</v>
      </c>
      <c r="D772" s="120"/>
      <c r="E772" s="125" t="s">
        <v>162</v>
      </c>
      <c r="H772" s="36"/>
      <c r="I772" s="36"/>
      <c r="J772" s="36"/>
      <c r="K772" s="36"/>
      <c r="L772" s="36"/>
      <c r="M772" s="36"/>
      <c r="N772" s="36"/>
      <c r="O772" s="36"/>
      <c r="P772" s="36"/>
      <c r="Q772" s="36"/>
      <c r="R772" s="119" t="str">
        <f>"バックアップ_"&amp;SUBSTITUTE(C772,"_結合","")</f>
        <v>バックアップ_MML_注射記録モジュール_本文</v>
      </c>
      <c r="S772" s="120"/>
      <c r="T772" s="123" t="str">
        <f>エンティティ一覧!$O$2</f>
        <v>milscm_2023_009</v>
      </c>
    </row>
    <row r="773" spans="2:23" ht="18.75" customHeight="1">
      <c r="C773" s="121"/>
      <c r="D773" s="122"/>
      <c r="E773" s="126"/>
      <c r="F773" s="37"/>
      <c r="G773" s="38"/>
      <c r="H773" s="37"/>
      <c r="I773" s="37"/>
      <c r="J773" s="37"/>
      <c r="K773" s="37"/>
      <c r="L773" s="37"/>
      <c r="M773" s="37"/>
      <c r="N773" s="37"/>
      <c r="O773" s="37"/>
      <c r="P773" s="37"/>
      <c r="Q773" s="37"/>
      <c r="R773" s="121"/>
      <c r="S773" s="122"/>
      <c r="T773" s="124"/>
    </row>
    <row r="774" spans="2:23" ht="18.75" customHeight="1">
      <c r="F774" s="39"/>
      <c r="G774" s="40"/>
    </row>
    <row r="775" spans="2:23" ht="18.75" customHeight="1">
      <c r="C775" s="119" t="s">
        <v>3183</v>
      </c>
      <c r="D775" s="120"/>
      <c r="E775" s="123" t="str">
        <f>エンティティ一覧!$O$2</f>
        <v>milscm_2023_009</v>
      </c>
      <c r="G775" s="41"/>
    </row>
    <row r="776" spans="2:23" ht="18.75" customHeight="1">
      <c r="C776" s="121"/>
      <c r="D776" s="122"/>
      <c r="E776" s="124"/>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3619</v>
      </c>
      <c r="D780" s="88"/>
      <c r="W780" s="35" t="str">
        <f>"-- "&amp;B780&amp;" : "&amp;C780</f>
        <v>-- SQL_ID : 01_A6-28</v>
      </c>
    </row>
    <row r="781" spans="2:23" ht="18.75" customHeight="1">
      <c r="B781" s="43" t="s">
        <v>158</v>
      </c>
      <c r="C781" s="127" t="str">
        <f>R784&amp;"登録"</f>
        <v>バックアップ_MML_注射記録モジュール_投薬登録</v>
      </c>
      <c r="D781" s="128"/>
      <c r="E781" s="128"/>
      <c r="F781" s="128"/>
      <c r="G781" s="128"/>
      <c r="H781" s="128"/>
      <c r="I781" s="128"/>
      <c r="J781" s="128"/>
      <c r="K781" s="128"/>
      <c r="L781" s="128"/>
      <c r="M781" s="128"/>
      <c r="N781" s="128"/>
      <c r="O781" s="128"/>
      <c r="P781" s="128"/>
      <c r="Q781" s="128"/>
      <c r="R781" s="128"/>
      <c r="S781" s="128"/>
      <c r="T781" s="128"/>
      <c r="U781" s="129"/>
      <c r="W781" s="35" t="str">
        <f>"-- "&amp;C781</f>
        <v>-- バックアップ_MML_注射記録モジュール_投薬登録</v>
      </c>
    </row>
    <row r="782" spans="2:23" ht="18.75" customHeight="1">
      <c r="B782" s="43" t="s">
        <v>159</v>
      </c>
      <c r="C782" s="130"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31"/>
      <c r="E782" s="131"/>
      <c r="F782" s="131"/>
      <c r="G782" s="131"/>
      <c r="H782" s="131"/>
      <c r="I782" s="131"/>
      <c r="J782" s="131"/>
      <c r="K782" s="131"/>
      <c r="L782" s="131"/>
      <c r="M782" s="131"/>
      <c r="N782" s="131"/>
      <c r="O782" s="131"/>
      <c r="P782" s="131"/>
      <c r="Q782" s="131"/>
      <c r="R782" s="131"/>
      <c r="S782" s="131"/>
      <c r="T782" s="131"/>
      <c r="U782" s="132"/>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19" t="s">
        <v>3620</v>
      </c>
      <c r="D784" s="120"/>
      <c r="E784" s="125" t="s">
        <v>162</v>
      </c>
      <c r="H784" s="36"/>
      <c r="I784" s="36"/>
      <c r="J784" s="36"/>
      <c r="K784" s="36"/>
      <c r="L784" s="36"/>
      <c r="M784" s="36"/>
      <c r="N784" s="36"/>
      <c r="O784" s="36"/>
      <c r="P784" s="36"/>
      <c r="Q784" s="36"/>
      <c r="R784" s="119" t="str">
        <f>"バックアップ_"&amp;SUBSTITUTE(C784,"_結合","")</f>
        <v>バックアップ_MML_注射記録モジュール_投薬</v>
      </c>
      <c r="S784" s="120"/>
      <c r="T784" s="123" t="str">
        <f>エンティティ一覧!$O$2</f>
        <v>milscm_2023_009</v>
      </c>
    </row>
    <row r="785" spans="2:23" ht="18.75" customHeight="1">
      <c r="C785" s="121"/>
      <c r="D785" s="122"/>
      <c r="E785" s="126"/>
      <c r="F785" s="37"/>
      <c r="G785" s="38"/>
      <c r="H785" s="37"/>
      <c r="I785" s="37"/>
      <c r="J785" s="37"/>
      <c r="K785" s="37"/>
      <c r="L785" s="37"/>
      <c r="M785" s="37"/>
      <c r="N785" s="37"/>
      <c r="O785" s="37"/>
      <c r="P785" s="37"/>
      <c r="Q785" s="37"/>
      <c r="R785" s="121"/>
      <c r="S785" s="122"/>
      <c r="T785" s="124"/>
    </row>
    <row r="786" spans="2:23" ht="18.75" customHeight="1">
      <c r="F786" s="39"/>
      <c r="G786" s="40"/>
    </row>
    <row r="787" spans="2:23" ht="18.75" customHeight="1">
      <c r="C787" s="119" t="s">
        <v>3183</v>
      </c>
      <c r="D787" s="120"/>
      <c r="E787" s="123" t="str">
        <f>エンティティ一覧!$O$2</f>
        <v>milscm_2023_009</v>
      </c>
      <c r="G787" s="41"/>
    </row>
    <row r="788" spans="2:23" ht="18.75" customHeight="1">
      <c r="C788" s="121"/>
      <c r="D788" s="122"/>
      <c r="E788" s="124"/>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3621</v>
      </c>
      <c r="D792" s="88"/>
      <c r="W792" s="35" t="str">
        <f>"-- "&amp;B792&amp;" : "&amp;C792</f>
        <v>-- SQL_ID : 01_A6-29</v>
      </c>
    </row>
    <row r="793" spans="2:23" ht="18.75" customHeight="1">
      <c r="B793" s="43" t="s">
        <v>158</v>
      </c>
      <c r="C793" s="127" t="str">
        <f>R796&amp;"登録"</f>
        <v>バックアップ_MML_注射記録モジュール_薬剤登録</v>
      </c>
      <c r="D793" s="128"/>
      <c r="E793" s="128"/>
      <c r="F793" s="128"/>
      <c r="G793" s="128"/>
      <c r="H793" s="128"/>
      <c r="I793" s="128"/>
      <c r="J793" s="128"/>
      <c r="K793" s="128"/>
      <c r="L793" s="128"/>
      <c r="M793" s="128"/>
      <c r="N793" s="128"/>
      <c r="O793" s="128"/>
      <c r="P793" s="128"/>
      <c r="Q793" s="128"/>
      <c r="R793" s="128"/>
      <c r="S793" s="128"/>
      <c r="T793" s="128"/>
      <c r="U793" s="129"/>
      <c r="W793" s="35" t="str">
        <f>"-- "&amp;C793</f>
        <v>-- バックアップ_MML_注射記録モジュール_薬剤登録</v>
      </c>
    </row>
    <row r="794" spans="2:23" ht="18.75" customHeight="1">
      <c r="B794" s="43" t="s">
        <v>159</v>
      </c>
      <c r="C794" s="130"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31"/>
      <c r="E794" s="131"/>
      <c r="F794" s="131"/>
      <c r="G794" s="131"/>
      <c r="H794" s="131"/>
      <c r="I794" s="131"/>
      <c r="J794" s="131"/>
      <c r="K794" s="131"/>
      <c r="L794" s="131"/>
      <c r="M794" s="131"/>
      <c r="N794" s="131"/>
      <c r="O794" s="131"/>
      <c r="P794" s="131"/>
      <c r="Q794" s="131"/>
      <c r="R794" s="131"/>
      <c r="S794" s="131"/>
      <c r="T794" s="131"/>
      <c r="U794" s="132"/>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19" t="s">
        <v>3622</v>
      </c>
      <c r="D796" s="120"/>
      <c r="E796" s="125" t="s">
        <v>162</v>
      </c>
      <c r="H796" s="36"/>
      <c r="I796" s="36"/>
      <c r="J796" s="36"/>
      <c r="K796" s="36"/>
      <c r="L796" s="36"/>
      <c r="M796" s="36"/>
      <c r="N796" s="36"/>
      <c r="O796" s="36"/>
      <c r="P796" s="36"/>
      <c r="Q796" s="36"/>
      <c r="R796" s="119" t="str">
        <f>"バックアップ_"&amp;SUBSTITUTE(C796,"_結合","")</f>
        <v>バックアップ_MML_注射記録モジュール_薬剤</v>
      </c>
      <c r="S796" s="120"/>
      <c r="T796" s="123" t="str">
        <f>エンティティ一覧!$O$2</f>
        <v>milscm_2023_009</v>
      </c>
    </row>
    <row r="797" spans="2:23" ht="18.75" customHeight="1">
      <c r="C797" s="121"/>
      <c r="D797" s="122"/>
      <c r="E797" s="126"/>
      <c r="F797" s="37"/>
      <c r="G797" s="38"/>
      <c r="H797" s="37"/>
      <c r="I797" s="37"/>
      <c r="J797" s="37"/>
      <c r="K797" s="37"/>
      <c r="L797" s="37"/>
      <c r="M797" s="37"/>
      <c r="N797" s="37"/>
      <c r="O797" s="37"/>
      <c r="P797" s="37"/>
      <c r="Q797" s="37"/>
      <c r="R797" s="121"/>
      <c r="S797" s="122"/>
      <c r="T797" s="124"/>
    </row>
    <row r="798" spans="2:23" ht="18.75" customHeight="1">
      <c r="F798" s="39"/>
      <c r="G798" s="40"/>
    </row>
    <row r="799" spans="2:23" ht="18.75" customHeight="1">
      <c r="C799" s="119" t="s">
        <v>3183</v>
      </c>
      <c r="D799" s="120"/>
      <c r="E799" s="123" t="str">
        <f>エンティティ一覧!$O$2</f>
        <v>milscm_2023_009</v>
      </c>
      <c r="G799" s="41"/>
    </row>
    <row r="800" spans="2:23" ht="18.75" customHeight="1">
      <c r="C800" s="121"/>
      <c r="D800" s="122"/>
      <c r="E800" s="124"/>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3623</v>
      </c>
      <c r="D804" s="88"/>
      <c r="W804" s="35" t="str">
        <f>"-- "&amp;B804&amp;" : "&amp;C804</f>
        <v>-- SQL_ID : 01_A6-42</v>
      </c>
    </row>
    <row r="805" spans="2:23" ht="18.75" customHeight="1">
      <c r="B805" s="43" t="s">
        <v>158</v>
      </c>
      <c r="C805" s="127" t="str">
        <f>R808&amp;"登録"</f>
        <v>バックアップ_MML_手術モジュール_手術項目登録</v>
      </c>
      <c r="D805" s="128"/>
      <c r="E805" s="128"/>
      <c r="F805" s="128"/>
      <c r="G805" s="128"/>
      <c r="H805" s="128"/>
      <c r="I805" s="128"/>
      <c r="J805" s="128"/>
      <c r="K805" s="128"/>
      <c r="L805" s="128"/>
      <c r="M805" s="128"/>
      <c r="N805" s="128"/>
      <c r="O805" s="128"/>
      <c r="P805" s="128"/>
      <c r="Q805" s="128"/>
      <c r="R805" s="128"/>
      <c r="S805" s="128"/>
      <c r="T805" s="128"/>
      <c r="U805" s="129"/>
      <c r="W805" s="35" t="str">
        <f>"-- "&amp;C805</f>
        <v>-- バックアップ_MML_手術モジュール_手術項目登録</v>
      </c>
    </row>
    <row r="806" spans="2:23" ht="18.75" customHeight="1">
      <c r="B806" s="43" t="s">
        <v>159</v>
      </c>
      <c r="C806" s="130"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31"/>
      <c r="E806" s="131"/>
      <c r="F806" s="131"/>
      <c r="G806" s="131"/>
      <c r="H806" s="131"/>
      <c r="I806" s="131"/>
      <c r="J806" s="131"/>
      <c r="K806" s="131"/>
      <c r="L806" s="131"/>
      <c r="M806" s="131"/>
      <c r="N806" s="131"/>
      <c r="O806" s="131"/>
      <c r="P806" s="131"/>
      <c r="Q806" s="131"/>
      <c r="R806" s="131"/>
      <c r="S806" s="131"/>
      <c r="T806" s="131"/>
      <c r="U806" s="132"/>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19" t="s">
        <v>3624</v>
      </c>
      <c r="D808" s="120"/>
      <c r="E808" s="125" t="s">
        <v>162</v>
      </c>
      <c r="H808" s="36"/>
      <c r="I808" s="36"/>
      <c r="J808" s="36"/>
      <c r="K808" s="36"/>
      <c r="L808" s="36"/>
      <c r="M808" s="36"/>
      <c r="N808" s="36"/>
      <c r="O808" s="36"/>
      <c r="P808" s="36"/>
      <c r="Q808" s="36"/>
      <c r="R808" s="119" t="str">
        <f>"バックアップ_"&amp;SUBSTITUTE(C808,"_結合","")</f>
        <v>バックアップ_MML_手術モジュール_手術項目</v>
      </c>
      <c r="S808" s="120"/>
      <c r="T808" s="123" t="str">
        <f>エンティティ一覧!$O$2</f>
        <v>milscm_2023_009</v>
      </c>
    </row>
    <row r="809" spans="2:23" ht="18.75" customHeight="1">
      <c r="C809" s="121"/>
      <c r="D809" s="122"/>
      <c r="E809" s="126"/>
      <c r="F809" s="37"/>
      <c r="G809" s="38"/>
      <c r="H809" s="37"/>
      <c r="I809" s="37"/>
      <c r="J809" s="37"/>
      <c r="K809" s="37"/>
      <c r="L809" s="37"/>
      <c r="M809" s="37"/>
      <c r="N809" s="37"/>
      <c r="O809" s="37"/>
      <c r="P809" s="37"/>
      <c r="Q809" s="37"/>
      <c r="R809" s="121"/>
      <c r="S809" s="122"/>
      <c r="T809" s="124"/>
    </row>
    <row r="810" spans="2:23" ht="18.75" customHeight="1">
      <c r="F810" s="39"/>
      <c r="G810" s="40"/>
    </row>
    <row r="811" spans="2:23" ht="18.75" customHeight="1">
      <c r="C811" s="119" t="s">
        <v>3183</v>
      </c>
      <c r="D811" s="120"/>
      <c r="E811" s="123" t="str">
        <f>エンティティ一覧!$O$2</f>
        <v>milscm_2023_009</v>
      </c>
      <c r="G811" s="41"/>
    </row>
    <row r="812" spans="2:23" ht="18.75" customHeight="1">
      <c r="C812" s="121"/>
      <c r="D812" s="122"/>
      <c r="E812" s="124"/>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3625</v>
      </c>
      <c r="D816" s="88"/>
      <c r="W816" s="35" t="str">
        <f>"-- "&amp;B816&amp;" : "&amp;C816</f>
        <v>-- SQL_ID : 01_A6-43</v>
      </c>
    </row>
    <row r="817" spans="2:23" ht="18.75" customHeight="1">
      <c r="B817" s="43" t="s">
        <v>158</v>
      </c>
      <c r="C817" s="127" t="str">
        <f>R820&amp;"登録"</f>
        <v>バックアップ_MML_手術モジュール_診療科情報登録</v>
      </c>
      <c r="D817" s="128"/>
      <c r="E817" s="128"/>
      <c r="F817" s="128"/>
      <c r="G817" s="128"/>
      <c r="H817" s="128"/>
      <c r="I817" s="128"/>
      <c r="J817" s="128"/>
      <c r="K817" s="128"/>
      <c r="L817" s="128"/>
      <c r="M817" s="128"/>
      <c r="N817" s="128"/>
      <c r="O817" s="128"/>
      <c r="P817" s="128"/>
      <c r="Q817" s="128"/>
      <c r="R817" s="128"/>
      <c r="S817" s="128"/>
      <c r="T817" s="128"/>
      <c r="U817" s="129"/>
      <c r="W817" s="35" t="str">
        <f>"-- "&amp;C817</f>
        <v>-- バックアップ_MML_手術モジュール_診療科情報登録</v>
      </c>
    </row>
    <row r="818" spans="2:23" ht="18.75" customHeight="1">
      <c r="B818" s="43" t="s">
        <v>159</v>
      </c>
      <c r="C818" s="130"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31"/>
      <c r="E818" s="131"/>
      <c r="F818" s="131"/>
      <c r="G818" s="131"/>
      <c r="H818" s="131"/>
      <c r="I818" s="131"/>
      <c r="J818" s="131"/>
      <c r="K818" s="131"/>
      <c r="L818" s="131"/>
      <c r="M818" s="131"/>
      <c r="N818" s="131"/>
      <c r="O818" s="131"/>
      <c r="P818" s="131"/>
      <c r="Q818" s="131"/>
      <c r="R818" s="131"/>
      <c r="S818" s="131"/>
      <c r="T818" s="131"/>
      <c r="U818" s="132"/>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19" t="s">
        <v>3626</v>
      </c>
      <c r="D820" s="120"/>
      <c r="E820" s="125" t="s">
        <v>162</v>
      </c>
      <c r="H820" s="36"/>
      <c r="I820" s="36"/>
      <c r="J820" s="36"/>
      <c r="K820" s="36"/>
      <c r="L820" s="36"/>
      <c r="M820" s="36"/>
      <c r="N820" s="36"/>
      <c r="O820" s="36"/>
      <c r="P820" s="36"/>
      <c r="Q820" s="36"/>
      <c r="R820" s="119" t="str">
        <f>"バックアップ_"&amp;SUBSTITUTE(C820,"_結合","")</f>
        <v>バックアップ_MML_手術モジュール_診療科情報</v>
      </c>
      <c r="S820" s="120"/>
      <c r="T820" s="123" t="str">
        <f>エンティティ一覧!$O$2</f>
        <v>milscm_2023_009</v>
      </c>
    </row>
    <row r="821" spans="2:23" ht="18.75" customHeight="1">
      <c r="C821" s="121"/>
      <c r="D821" s="122"/>
      <c r="E821" s="126"/>
      <c r="F821" s="37"/>
      <c r="G821" s="38"/>
      <c r="H821" s="37"/>
      <c r="I821" s="37"/>
      <c r="J821" s="37"/>
      <c r="K821" s="37"/>
      <c r="L821" s="37"/>
      <c r="M821" s="37"/>
      <c r="N821" s="37"/>
      <c r="O821" s="37"/>
      <c r="P821" s="37"/>
      <c r="Q821" s="37"/>
      <c r="R821" s="121"/>
      <c r="S821" s="122"/>
      <c r="T821" s="124"/>
    </row>
    <row r="822" spans="2:23" ht="18.75" customHeight="1">
      <c r="F822" s="39"/>
      <c r="G822" s="40"/>
    </row>
    <row r="823" spans="2:23" ht="18.75" customHeight="1">
      <c r="C823" s="119" t="s">
        <v>3183</v>
      </c>
      <c r="D823" s="120"/>
      <c r="E823" s="123" t="str">
        <f>エンティティ一覧!$O$2</f>
        <v>milscm_2023_009</v>
      </c>
      <c r="G823" s="41"/>
    </row>
    <row r="824" spans="2:23" ht="18.75" customHeight="1">
      <c r="C824" s="121"/>
      <c r="D824" s="122"/>
      <c r="E824" s="124"/>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3627</v>
      </c>
      <c r="D828" s="88"/>
      <c r="W828" s="35" t="str">
        <f>"-- "&amp;B828&amp;" : "&amp;C828</f>
        <v>-- SQL_ID : 01_A6-44</v>
      </c>
    </row>
    <row r="829" spans="2:23" ht="18.75" customHeight="1">
      <c r="B829" s="43" t="s">
        <v>158</v>
      </c>
      <c r="C829" s="127" t="str">
        <f>R832&amp;"登録"</f>
        <v>バックアップ_MML_手術モジュール_診断履歴情報登録</v>
      </c>
      <c r="D829" s="128"/>
      <c r="E829" s="128"/>
      <c r="F829" s="128"/>
      <c r="G829" s="128"/>
      <c r="H829" s="128"/>
      <c r="I829" s="128"/>
      <c r="J829" s="128"/>
      <c r="K829" s="128"/>
      <c r="L829" s="128"/>
      <c r="M829" s="128"/>
      <c r="N829" s="128"/>
      <c r="O829" s="128"/>
      <c r="P829" s="128"/>
      <c r="Q829" s="128"/>
      <c r="R829" s="128"/>
      <c r="S829" s="128"/>
      <c r="T829" s="128"/>
      <c r="U829" s="129"/>
      <c r="W829" s="35" t="str">
        <f>"-- "&amp;C829</f>
        <v>-- バックアップ_MML_手術モジュール_診断履歴情報登録</v>
      </c>
    </row>
    <row r="830" spans="2:23" ht="18.75" customHeight="1">
      <c r="B830" s="43" t="s">
        <v>159</v>
      </c>
      <c r="C830" s="130"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31"/>
      <c r="E830" s="131"/>
      <c r="F830" s="131"/>
      <c r="G830" s="131"/>
      <c r="H830" s="131"/>
      <c r="I830" s="131"/>
      <c r="J830" s="131"/>
      <c r="K830" s="131"/>
      <c r="L830" s="131"/>
      <c r="M830" s="131"/>
      <c r="N830" s="131"/>
      <c r="O830" s="131"/>
      <c r="P830" s="131"/>
      <c r="Q830" s="131"/>
      <c r="R830" s="131"/>
      <c r="S830" s="131"/>
      <c r="T830" s="131"/>
      <c r="U830" s="132"/>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19" t="s">
        <v>3628</v>
      </c>
      <c r="D832" s="120"/>
      <c r="E832" s="125" t="s">
        <v>162</v>
      </c>
      <c r="H832" s="36"/>
      <c r="I832" s="36"/>
      <c r="J832" s="36"/>
      <c r="K832" s="36"/>
      <c r="L832" s="36"/>
      <c r="M832" s="36"/>
      <c r="N832" s="36"/>
      <c r="O832" s="36"/>
      <c r="P832" s="36"/>
      <c r="Q832" s="36"/>
      <c r="R832" s="119" t="str">
        <f>"バックアップ_"&amp;SUBSTITUTE(C832,"_結合","")</f>
        <v>バックアップ_MML_手術モジュール_診断履歴情報</v>
      </c>
      <c r="S832" s="120"/>
      <c r="T832" s="123" t="str">
        <f>エンティティ一覧!$O$2</f>
        <v>milscm_2023_009</v>
      </c>
    </row>
    <row r="833" spans="2:23" ht="18.75" customHeight="1">
      <c r="C833" s="121"/>
      <c r="D833" s="122"/>
      <c r="E833" s="126"/>
      <c r="F833" s="37"/>
      <c r="G833" s="38"/>
      <c r="H833" s="37"/>
      <c r="I833" s="37"/>
      <c r="J833" s="37"/>
      <c r="K833" s="37"/>
      <c r="L833" s="37"/>
      <c r="M833" s="37"/>
      <c r="N833" s="37"/>
      <c r="O833" s="37"/>
      <c r="P833" s="37"/>
      <c r="Q833" s="37"/>
      <c r="R833" s="121"/>
      <c r="S833" s="122"/>
      <c r="T833" s="124"/>
    </row>
    <row r="834" spans="2:23" ht="18.75" customHeight="1">
      <c r="F834" s="39"/>
      <c r="G834" s="40"/>
    </row>
    <row r="835" spans="2:23" ht="18.75" customHeight="1">
      <c r="C835" s="119" t="s">
        <v>3183</v>
      </c>
      <c r="D835" s="120"/>
      <c r="E835" s="123" t="str">
        <f>エンティティ一覧!$O$2</f>
        <v>milscm_2023_009</v>
      </c>
      <c r="G835" s="41"/>
    </row>
    <row r="836" spans="2:23" ht="18.75" customHeight="1">
      <c r="C836" s="121"/>
      <c r="D836" s="122"/>
      <c r="E836" s="124"/>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3629</v>
      </c>
      <c r="D840" s="88"/>
      <c r="W840" s="35" t="str">
        <f>"-- "&amp;B840&amp;" : "&amp;C840</f>
        <v>-- SQL_ID : 01_A6-45</v>
      </c>
    </row>
    <row r="841" spans="2:23" ht="18.75" customHeight="1">
      <c r="B841" s="43" t="s">
        <v>158</v>
      </c>
      <c r="C841" s="127" t="str">
        <f>R844&amp;"登録"</f>
        <v>バックアップ_MML_手術モジュール_病名登録</v>
      </c>
      <c r="D841" s="128"/>
      <c r="E841" s="128"/>
      <c r="F841" s="128"/>
      <c r="G841" s="128"/>
      <c r="H841" s="128"/>
      <c r="I841" s="128"/>
      <c r="J841" s="128"/>
      <c r="K841" s="128"/>
      <c r="L841" s="128"/>
      <c r="M841" s="128"/>
      <c r="N841" s="128"/>
      <c r="O841" s="128"/>
      <c r="P841" s="128"/>
      <c r="Q841" s="128"/>
      <c r="R841" s="128"/>
      <c r="S841" s="128"/>
      <c r="T841" s="128"/>
      <c r="U841" s="129"/>
      <c r="W841" s="35" t="str">
        <f>"-- "&amp;C841</f>
        <v>-- バックアップ_MML_手術モジュール_病名登録</v>
      </c>
    </row>
    <row r="842" spans="2:23" ht="18.75" customHeight="1">
      <c r="B842" s="43" t="s">
        <v>159</v>
      </c>
      <c r="C842" s="130"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31"/>
      <c r="E842" s="131"/>
      <c r="F842" s="131"/>
      <c r="G842" s="131"/>
      <c r="H842" s="131"/>
      <c r="I842" s="131"/>
      <c r="J842" s="131"/>
      <c r="K842" s="131"/>
      <c r="L842" s="131"/>
      <c r="M842" s="131"/>
      <c r="N842" s="131"/>
      <c r="O842" s="131"/>
      <c r="P842" s="131"/>
      <c r="Q842" s="131"/>
      <c r="R842" s="131"/>
      <c r="S842" s="131"/>
      <c r="T842" s="131"/>
      <c r="U842" s="132"/>
      <c r="W842" s="35" t="str">
        <f>"-- "&amp;C842</f>
        <v>-- MML_手術モジュール_病名テーブルから組入れ条件の第一条件で絞り込んだ結果をバックアップ_MML_手術モジュール_病名テーブルに格納する。</v>
      </c>
    </row>
    <row r="844" spans="2:23" ht="18.75" customHeight="1">
      <c r="C844" s="119" t="s">
        <v>3630</v>
      </c>
      <c r="D844" s="120"/>
      <c r="E844" s="125" t="s">
        <v>162</v>
      </c>
      <c r="H844" s="36"/>
      <c r="I844" s="36"/>
      <c r="J844" s="36"/>
      <c r="K844" s="36"/>
      <c r="L844" s="36"/>
      <c r="M844" s="36"/>
      <c r="N844" s="36"/>
      <c r="O844" s="36"/>
      <c r="P844" s="36"/>
      <c r="Q844" s="36"/>
      <c r="R844" s="119" t="str">
        <f>"バックアップ_"&amp;SUBSTITUTE(C844,"_結合","")</f>
        <v>バックアップ_MML_手術モジュール_病名</v>
      </c>
      <c r="S844" s="120"/>
      <c r="T844" s="123" t="str">
        <f>エンティティ一覧!$O$2</f>
        <v>milscm_2023_009</v>
      </c>
    </row>
    <row r="845" spans="2:23" ht="18.75" customHeight="1">
      <c r="C845" s="121"/>
      <c r="D845" s="122"/>
      <c r="E845" s="126"/>
      <c r="F845" s="37"/>
      <c r="G845" s="38"/>
      <c r="H845" s="37"/>
      <c r="I845" s="37"/>
      <c r="J845" s="37"/>
      <c r="K845" s="37"/>
      <c r="L845" s="37"/>
      <c r="M845" s="37"/>
      <c r="N845" s="37"/>
      <c r="O845" s="37"/>
      <c r="P845" s="37"/>
      <c r="Q845" s="37"/>
      <c r="R845" s="121"/>
      <c r="S845" s="122"/>
      <c r="T845" s="124"/>
    </row>
    <row r="846" spans="2:23" ht="18.75" customHeight="1">
      <c r="F846" s="39"/>
      <c r="G846" s="40"/>
    </row>
    <row r="847" spans="2:23" ht="18.75" customHeight="1">
      <c r="C847" s="119" t="s">
        <v>3183</v>
      </c>
      <c r="D847" s="120"/>
      <c r="E847" s="123" t="str">
        <f>エンティティ一覧!$O$2</f>
        <v>milscm_2023_009</v>
      </c>
      <c r="G847" s="41"/>
    </row>
    <row r="848" spans="2:23" ht="18.75" customHeight="1">
      <c r="C848" s="121"/>
      <c r="D848" s="122"/>
      <c r="E848" s="124"/>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3631</v>
      </c>
      <c r="D852" s="88"/>
      <c r="W852" s="35" t="str">
        <f>"-- "&amp;B852&amp;" : "&amp;C852</f>
        <v>-- SQL_ID : 01_A6-46</v>
      </c>
    </row>
    <row r="853" spans="2:23" ht="18.75" customHeight="1">
      <c r="B853" s="43" t="s">
        <v>158</v>
      </c>
      <c r="C853" s="127" t="str">
        <f>R856&amp;"登録"</f>
        <v>バックアップ_MML_手術モジュール_カテゴリ名登録</v>
      </c>
      <c r="D853" s="128"/>
      <c r="E853" s="128"/>
      <c r="F853" s="128"/>
      <c r="G853" s="128"/>
      <c r="H853" s="128"/>
      <c r="I853" s="128"/>
      <c r="J853" s="128"/>
      <c r="K853" s="128"/>
      <c r="L853" s="128"/>
      <c r="M853" s="128"/>
      <c r="N853" s="128"/>
      <c r="O853" s="128"/>
      <c r="P853" s="128"/>
      <c r="Q853" s="128"/>
      <c r="R853" s="128"/>
      <c r="S853" s="128"/>
      <c r="T853" s="128"/>
      <c r="U853" s="129"/>
      <c r="W853" s="35" t="str">
        <f>"-- "&amp;C853</f>
        <v>-- バックアップ_MML_手術モジュール_カテゴリ名登録</v>
      </c>
    </row>
    <row r="854" spans="2:23" ht="18.75" customHeight="1">
      <c r="B854" s="43" t="s">
        <v>159</v>
      </c>
      <c r="C854" s="130"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31"/>
      <c r="E854" s="131"/>
      <c r="F854" s="131"/>
      <c r="G854" s="131"/>
      <c r="H854" s="131"/>
      <c r="I854" s="131"/>
      <c r="J854" s="131"/>
      <c r="K854" s="131"/>
      <c r="L854" s="131"/>
      <c r="M854" s="131"/>
      <c r="N854" s="131"/>
      <c r="O854" s="131"/>
      <c r="P854" s="131"/>
      <c r="Q854" s="131"/>
      <c r="R854" s="131"/>
      <c r="S854" s="131"/>
      <c r="T854" s="131"/>
      <c r="U854" s="132"/>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19" t="s">
        <v>3632</v>
      </c>
      <c r="D856" s="120"/>
      <c r="E856" s="125" t="s">
        <v>162</v>
      </c>
      <c r="H856" s="36"/>
      <c r="I856" s="36"/>
      <c r="J856" s="36"/>
      <c r="K856" s="36"/>
      <c r="L856" s="36"/>
      <c r="M856" s="36"/>
      <c r="N856" s="36"/>
      <c r="O856" s="36"/>
      <c r="P856" s="36"/>
      <c r="Q856" s="36"/>
      <c r="R856" s="119" t="str">
        <f>"バックアップ_"&amp;SUBSTITUTE(C856,"_結合","")</f>
        <v>バックアップ_MML_手術モジュール_カテゴリ名</v>
      </c>
      <c r="S856" s="120"/>
      <c r="T856" s="123" t="str">
        <f>エンティティ一覧!$O$2</f>
        <v>milscm_2023_009</v>
      </c>
    </row>
    <row r="857" spans="2:23" ht="18.75" customHeight="1">
      <c r="C857" s="121"/>
      <c r="D857" s="122"/>
      <c r="E857" s="126"/>
      <c r="F857" s="37"/>
      <c r="G857" s="38"/>
      <c r="H857" s="37"/>
      <c r="I857" s="37"/>
      <c r="J857" s="37"/>
      <c r="K857" s="37"/>
      <c r="L857" s="37"/>
      <c r="M857" s="37"/>
      <c r="N857" s="37"/>
      <c r="O857" s="37"/>
      <c r="P857" s="37"/>
      <c r="Q857" s="37"/>
      <c r="R857" s="121"/>
      <c r="S857" s="122"/>
      <c r="T857" s="124"/>
    </row>
    <row r="858" spans="2:23" ht="18.75" customHeight="1">
      <c r="F858" s="39"/>
      <c r="G858" s="40"/>
    </row>
    <row r="859" spans="2:23" ht="18.75" customHeight="1">
      <c r="C859" s="119" t="s">
        <v>3183</v>
      </c>
      <c r="D859" s="120"/>
      <c r="E859" s="123" t="str">
        <f>エンティティ一覧!$O$2</f>
        <v>milscm_2023_009</v>
      </c>
      <c r="G859" s="41"/>
    </row>
    <row r="860" spans="2:23" ht="18.75" customHeight="1">
      <c r="C860" s="121"/>
      <c r="D860" s="122"/>
      <c r="E860" s="124"/>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3633</v>
      </c>
      <c r="D864" s="88"/>
      <c r="W864" s="35" t="str">
        <f>"-- "&amp;B864&amp;" : "&amp;C864</f>
        <v>-- SQL_ID : 01_A6-47</v>
      </c>
    </row>
    <row r="865" spans="2:23" ht="18.75" customHeight="1">
      <c r="B865" s="43" t="s">
        <v>158</v>
      </c>
      <c r="C865" s="127" t="str">
        <f>R868&amp;"登録"</f>
        <v>バックアップ_MML_手術モジュール_手術法登録</v>
      </c>
      <c r="D865" s="128"/>
      <c r="E865" s="128"/>
      <c r="F865" s="128"/>
      <c r="G865" s="128"/>
      <c r="H865" s="128"/>
      <c r="I865" s="128"/>
      <c r="J865" s="128"/>
      <c r="K865" s="128"/>
      <c r="L865" s="128"/>
      <c r="M865" s="128"/>
      <c r="N865" s="128"/>
      <c r="O865" s="128"/>
      <c r="P865" s="128"/>
      <c r="Q865" s="128"/>
      <c r="R865" s="128"/>
      <c r="S865" s="128"/>
      <c r="T865" s="128"/>
      <c r="U865" s="129"/>
      <c r="W865" s="35" t="str">
        <f>"-- "&amp;C865</f>
        <v>-- バックアップ_MML_手術モジュール_手術法登録</v>
      </c>
    </row>
    <row r="866" spans="2:23" ht="18.75" customHeight="1">
      <c r="B866" s="43" t="s">
        <v>159</v>
      </c>
      <c r="C866" s="130"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31"/>
      <c r="E866" s="131"/>
      <c r="F866" s="131"/>
      <c r="G866" s="131"/>
      <c r="H866" s="131"/>
      <c r="I866" s="131"/>
      <c r="J866" s="131"/>
      <c r="K866" s="131"/>
      <c r="L866" s="131"/>
      <c r="M866" s="131"/>
      <c r="N866" s="131"/>
      <c r="O866" s="131"/>
      <c r="P866" s="131"/>
      <c r="Q866" s="131"/>
      <c r="R866" s="131"/>
      <c r="S866" s="131"/>
      <c r="T866" s="131"/>
      <c r="U866" s="132"/>
      <c r="W866" s="35" t="str">
        <f>"-- "&amp;C866</f>
        <v>-- MML_手術モジュール_手術法テーブルから組入れ条件の第一条件で絞り込んだ結果をバックアップ_MML_手術モジュール_手術法テーブルに格納する。</v>
      </c>
    </row>
    <row r="868" spans="2:23" ht="18.75" customHeight="1">
      <c r="C868" s="119" t="s">
        <v>3634</v>
      </c>
      <c r="D868" s="120"/>
      <c r="E868" s="125" t="s">
        <v>162</v>
      </c>
      <c r="H868" s="36"/>
      <c r="I868" s="36"/>
      <c r="J868" s="36"/>
      <c r="K868" s="36"/>
      <c r="L868" s="36"/>
      <c r="M868" s="36"/>
      <c r="N868" s="36"/>
      <c r="O868" s="36"/>
      <c r="P868" s="36"/>
      <c r="Q868" s="36"/>
      <c r="R868" s="119" t="str">
        <f>"バックアップ_"&amp;SUBSTITUTE(C868,"_結合","")</f>
        <v>バックアップ_MML_手術モジュール_手術法</v>
      </c>
      <c r="S868" s="120"/>
      <c r="T868" s="123" t="str">
        <f>エンティティ一覧!$O$2</f>
        <v>milscm_2023_009</v>
      </c>
    </row>
    <row r="869" spans="2:23" ht="18.75" customHeight="1">
      <c r="C869" s="121"/>
      <c r="D869" s="122"/>
      <c r="E869" s="126"/>
      <c r="F869" s="37"/>
      <c r="G869" s="38"/>
      <c r="H869" s="37"/>
      <c r="I869" s="37"/>
      <c r="J869" s="37"/>
      <c r="K869" s="37"/>
      <c r="L869" s="37"/>
      <c r="M869" s="37"/>
      <c r="N869" s="37"/>
      <c r="O869" s="37"/>
      <c r="P869" s="37"/>
      <c r="Q869" s="37"/>
      <c r="R869" s="121"/>
      <c r="S869" s="122"/>
      <c r="T869" s="124"/>
    </row>
    <row r="870" spans="2:23" ht="18.75" customHeight="1">
      <c r="F870" s="39"/>
      <c r="G870" s="40"/>
    </row>
    <row r="871" spans="2:23" ht="18.75" customHeight="1">
      <c r="C871" s="119" t="s">
        <v>3183</v>
      </c>
      <c r="D871" s="120"/>
      <c r="E871" s="123" t="str">
        <f>エンティティ一覧!$O$2</f>
        <v>milscm_2023_009</v>
      </c>
      <c r="G871" s="41"/>
    </row>
    <row r="872" spans="2:23" ht="18.75" customHeight="1">
      <c r="C872" s="121"/>
      <c r="D872" s="122"/>
      <c r="E872" s="124"/>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3635</v>
      </c>
      <c r="D876" s="88"/>
      <c r="W876" s="35" t="str">
        <f>"-- "&amp;B876&amp;" : "&amp;C876</f>
        <v>-- SQL_ID : 01_A6-48</v>
      </c>
    </row>
    <row r="877" spans="2:23" ht="18.75" customHeight="1">
      <c r="B877" s="43" t="s">
        <v>158</v>
      </c>
      <c r="C877" s="127" t="str">
        <f>R880&amp;"登録"</f>
        <v>バックアップ_MML_手術モジュール_手術要素登録</v>
      </c>
      <c r="D877" s="128"/>
      <c r="E877" s="128"/>
      <c r="F877" s="128"/>
      <c r="G877" s="128"/>
      <c r="H877" s="128"/>
      <c r="I877" s="128"/>
      <c r="J877" s="128"/>
      <c r="K877" s="128"/>
      <c r="L877" s="128"/>
      <c r="M877" s="128"/>
      <c r="N877" s="128"/>
      <c r="O877" s="128"/>
      <c r="P877" s="128"/>
      <c r="Q877" s="128"/>
      <c r="R877" s="128"/>
      <c r="S877" s="128"/>
      <c r="T877" s="128"/>
      <c r="U877" s="129"/>
      <c r="W877" s="35" t="str">
        <f>"-- "&amp;C877</f>
        <v>-- バックアップ_MML_手術モジュール_手術要素登録</v>
      </c>
    </row>
    <row r="878" spans="2:23" ht="18.75" customHeight="1">
      <c r="B878" s="43" t="s">
        <v>159</v>
      </c>
      <c r="C878" s="130"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31"/>
      <c r="E878" s="131"/>
      <c r="F878" s="131"/>
      <c r="G878" s="131"/>
      <c r="H878" s="131"/>
      <c r="I878" s="131"/>
      <c r="J878" s="131"/>
      <c r="K878" s="131"/>
      <c r="L878" s="131"/>
      <c r="M878" s="131"/>
      <c r="N878" s="131"/>
      <c r="O878" s="131"/>
      <c r="P878" s="131"/>
      <c r="Q878" s="131"/>
      <c r="R878" s="131"/>
      <c r="S878" s="131"/>
      <c r="T878" s="131"/>
      <c r="U878" s="132"/>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19" t="s">
        <v>3636</v>
      </c>
      <c r="D880" s="120"/>
      <c r="E880" s="125" t="s">
        <v>162</v>
      </c>
      <c r="H880" s="36"/>
      <c r="I880" s="36"/>
      <c r="J880" s="36"/>
      <c r="K880" s="36"/>
      <c r="L880" s="36"/>
      <c r="M880" s="36"/>
      <c r="N880" s="36"/>
      <c r="O880" s="36"/>
      <c r="P880" s="36"/>
      <c r="Q880" s="36"/>
      <c r="R880" s="119" t="str">
        <f>"バックアップ_"&amp;SUBSTITUTE(C880,"_結合","")</f>
        <v>バックアップ_MML_手術モジュール_手術要素</v>
      </c>
      <c r="S880" s="120"/>
      <c r="T880" s="123" t="str">
        <f>エンティティ一覧!$O$2</f>
        <v>milscm_2023_009</v>
      </c>
    </row>
    <row r="881" spans="2:23" ht="18.75" customHeight="1">
      <c r="C881" s="121"/>
      <c r="D881" s="122"/>
      <c r="E881" s="126"/>
      <c r="F881" s="37"/>
      <c r="G881" s="38"/>
      <c r="H881" s="37"/>
      <c r="I881" s="37"/>
      <c r="J881" s="37"/>
      <c r="K881" s="37"/>
      <c r="L881" s="37"/>
      <c r="M881" s="37"/>
      <c r="N881" s="37"/>
      <c r="O881" s="37"/>
      <c r="P881" s="37"/>
      <c r="Q881" s="37"/>
      <c r="R881" s="121"/>
      <c r="S881" s="122"/>
      <c r="T881" s="124"/>
    </row>
    <row r="882" spans="2:23" ht="18.75" customHeight="1">
      <c r="F882" s="39"/>
      <c r="G882" s="40"/>
    </row>
    <row r="883" spans="2:23" ht="18.75" customHeight="1">
      <c r="C883" s="119" t="s">
        <v>3183</v>
      </c>
      <c r="D883" s="120"/>
      <c r="E883" s="123" t="str">
        <f>エンティティ一覧!$O$2</f>
        <v>milscm_2023_009</v>
      </c>
      <c r="G883" s="41"/>
    </row>
    <row r="884" spans="2:23" ht="18.75" customHeight="1">
      <c r="C884" s="121"/>
      <c r="D884" s="122"/>
      <c r="E884" s="124"/>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3637</v>
      </c>
      <c r="D888" s="88"/>
      <c r="W888" s="35" t="str">
        <f>"-- "&amp;B888&amp;" : "&amp;C888</f>
        <v>-- SQL_ID : 01_A6-49</v>
      </c>
    </row>
    <row r="889" spans="2:23" ht="18.75" customHeight="1">
      <c r="B889" s="43" t="s">
        <v>158</v>
      </c>
      <c r="C889" s="127" t="str">
        <f>R892&amp;"登録"</f>
        <v>バックアップ_MML_手術モジュール_麻酔法登録</v>
      </c>
      <c r="D889" s="128"/>
      <c r="E889" s="128"/>
      <c r="F889" s="128"/>
      <c r="G889" s="128"/>
      <c r="H889" s="128"/>
      <c r="I889" s="128"/>
      <c r="J889" s="128"/>
      <c r="K889" s="128"/>
      <c r="L889" s="128"/>
      <c r="M889" s="128"/>
      <c r="N889" s="128"/>
      <c r="O889" s="128"/>
      <c r="P889" s="128"/>
      <c r="Q889" s="128"/>
      <c r="R889" s="128"/>
      <c r="S889" s="128"/>
      <c r="T889" s="128"/>
      <c r="U889" s="129"/>
      <c r="W889" s="35" t="str">
        <f>"-- "&amp;C889</f>
        <v>-- バックアップ_MML_手術モジュール_麻酔法登録</v>
      </c>
    </row>
    <row r="890" spans="2:23" ht="18.75" customHeight="1">
      <c r="B890" s="43" t="s">
        <v>159</v>
      </c>
      <c r="C890" s="130"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31"/>
      <c r="E890" s="131"/>
      <c r="F890" s="131"/>
      <c r="G890" s="131"/>
      <c r="H890" s="131"/>
      <c r="I890" s="131"/>
      <c r="J890" s="131"/>
      <c r="K890" s="131"/>
      <c r="L890" s="131"/>
      <c r="M890" s="131"/>
      <c r="N890" s="131"/>
      <c r="O890" s="131"/>
      <c r="P890" s="131"/>
      <c r="Q890" s="131"/>
      <c r="R890" s="131"/>
      <c r="S890" s="131"/>
      <c r="T890" s="131"/>
      <c r="U890" s="132"/>
      <c r="W890" s="35" t="str">
        <f>"-- "&amp;C890</f>
        <v>-- MML_手術モジュール_麻酔法テーブルから組入れ条件の第一条件で絞り込んだ結果をバックアップ_MML_手術モジュール_麻酔法テーブルに格納する。</v>
      </c>
    </row>
    <row r="892" spans="2:23" ht="18.75" customHeight="1">
      <c r="C892" s="119" t="s">
        <v>3638</v>
      </c>
      <c r="D892" s="120"/>
      <c r="E892" s="125" t="s">
        <v>162</v>
      </c>
      <c r="H892" s="36"/>
      <c r="I892" s="36"/>
      <c r="J892" s="36"/>
      <c r="K892" s="36"/>
      <c r="L892" s="36"/>
      <c r="M892" s="36"/>
      <c r="N892" s="36"/>
      <c r="O892" s="36"/>
      <c r="P892" s="36"/>
      <c r="Q892" s="36"/>
      <c r="R892" s="119" t="str">
        <f>"バックアップ_"&amp;SUBSTITUTE(C892,"_結合","")</f>
        <v>バックアップ_MML_手術モジュール_麻酔法</v>
      </c>
      <c r="S892" s="120"/>
      <c r="T892" s="123" t="str">
        <f>エンティティ一覧!$O$2</f>
        <v>milscm_2023_009</v>
      </c>
    </row>
    <row r="893" spans="2:23" ht="18.75" customHeight="1">
      <c r="C893" s="121"/>
      <c r="D893" s="122"/>
      <c r="E893" s="126"/>
      <c r="F893" s="37"/>
      <c r="G893" s="38"/>
      <c r="H893" s="37"/>
      <c r="I893" s="37"/>
      <c r="J893" s="37"/>
      <c r="K893" s="37"/>
      <c r="L893" s="37"/>
      <c r="M893" s="37"/>
      <c r="N893" s="37"/>
      <c r="O893" s="37"/>
      <c r="P893" s="37"/>
      <c r="Q893" s="37"/>
      <c r="R893" s="121"/>
      <c r="S893" s="122"/>
      <c r="T893" s="124"/>
    </row>
    <row r="894" spans="2:23" ht="18.75" customHeight="1">
      <c r="F894" s="39"/>
      <c r="G894" s="40"/>
    </row>
    <row r="895" spans="2:23" ht="18.75" customHeight="1">
      <c r="C895" s="119" t="s">
        <v>3183</v>
      </c>
      <c r="D895" s="120"/>
      <c r="E895" s="123" t="str">
        <f>エンティティ一覧!$O$2</f>
        <v>milscm_2023_009</v>
      </c>
      <c r="G895" s="41"/>
    </row>
    <row r="896" spans="2:23" ht="18.75" customHeight="1">
      <c r="C896" s="121"/>
      <c r="D896" s="122"/>
      <c r="E896" s="124"/>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3639</v>
      </c>
      <c r="D900" s="88"/>
      <c r="W900" s="35" t="str">
        <f>"-- "&amp;B900&amp;" : "&amp;C900</f>
        <v>-- SQL_ID : 01_A6-50</v>
      </c>
    </row>
    <row r="901" spans="2:23" ht="18.75" customHeight="1">
      <c r="B901" s="43" t="s">
        <v>158</v>
      </c>
      <c r="C901" s="127" t="str">
        <f>R904&amp;"登録"</f>
        <v>バックアップ_MML_報告書情報モジュール_本文登録</v>
      </c>
      <c r="D901" s="128"/>
      <c r="E901" s="128"/>
      <c r="F901" s="128"/>
      <c r="G901" s="128"/>
      <c r="H901" s="128"/>
      <c r="I901" s="128"/>
      <c r="J901" s="128"/>
      <c r="K901" s="128"/>
      <c r="L901" s="128"/>
      <c r="M901" s="128"/>
      <c r="N901" s="128"/>
      <c r="O901" s="128"/>
      <c r="P901" s="128"/>
      <c r="Q901" s="128"/>
      <c r="R901" s="128"/>
      <c r="S901" s="128"/>
      <c r="T901" s="128"/>
      <c r="U901" s="129"/>
      <c r="W901" s="35" t="str">
        <f>"-- "&amp;C901</f>
        <v>-- バックアップ_MML_報告書情報モジュール_本文登録</v>
      </c>
    </row>
    <row r="902" spans="2:23" ht="18.75" customHeight="1">
      <c r="B902" s="43" t="s">
        <v>159</v>
      </c>
      <c r="C902" s="130"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31"/>
      <c r="E902" s="131"/>
      <c r="F902" s="131"/>
      <c r="G902" s="131"/>
      <c r="H902" s="131"/>
      <c r="I902" s="131"/>
      <c r="J902" s="131"/>
      <c r="K902" s="131"/>
      <c r="L902" s="131"/>
      <c r="M902" s="131"/>
      <c r="N902" s="131"/>
      <c r="O902" s="131"/>
      <c r="P902" s="131"/>
      <c r="Q902" s="131"/>
      <c r="R902" s="131"/>
      <c r="S902" s="131"/>
      <c r="T902" s="131"/>
      <c r="U902" s="132"/>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19" t="s">
        <v>3640</v>
      </c>
      <c r="D904" s="120"/>
      <c r="E904" s="125" t="s">
        <v>162</v>
      </c>
      <c r="H904" s="36"/>
      <c r="I904" s="36"/>
      <c r="J904" s="36"/>
      <c r="K904" s="36"/>
      <c r="L904" s="36"/>
      <c r="M904" s="36"/>
      <c r="N904" s="36"/>
      <c r="O904" s="36"/>
      <c r="P904" s="36"/>
      <c r="Q904" s="36"/>
      <c r="R904" s="119" t="str">
        <f>"バックアップ_"&amp;SUBSTITUTE(C904,"_結合","")</f>
        <v>バックアップ_MML_報告書情報モジュール_本文</v>
      </c>
      <c r="S904" s="120"/>
      <c r="T904" s="123" t="str">
        <f>エンティティ一覧!$O$2</f>
        <v>milscm_2023_009</v>
      </c>
    </row>
    <row r="905" spans="2:23" ht="18.75" customHeight="1">
      <c r="C905" s="121"/>
      <c r="D905" s="122"/>
      <c r="E905" s="126"/>
      <c r="F905" s="37"/>
      <c r="G905" s="38"/>
      <c r="H905" s="37"/>
      <c r="I905" s="37"/>
      <c r="J905" s="37"/>
      <c r="K905" s="37"/>
      <c r="L905" s="37"/>
      <c r="M905" s="37"/>
      <c r="N905" s="37"/>
      <c r="O905" s="37"/>
      <c r="P905" s="37"/>
      <c r="Q905" s="37"/>
      <c r="R905" s="121"/>
      <c r="S905" s="122"/>
      <c r="T905" s="124"/>
    </row>
    <row r="906" spans="2:23" ht="18.75" customHeight="1">
      <c r="F906" s="39"/>
      <c r="G906" s="40"/>
    </row>
    <row r="907" spans="2:23" ht="18.75" customHeight="1">
      <c r="C907" s="119" t="s">
        <v>3183</v>
      </c>
      <c r="D907" s="120"/>
      <c r="E907" s="123" t="str">
        <f>エンティティ一覧!$O$2</f>
        <v>milscm_2023_009</v>
      </c>
      <c r="G907" s="41"/>
    </row>
    <row r="908" spans="2:23" ht="18.75" customHeight="1">
      <c r="C908" s="121"/>
      <c r="D908" s="122"/>
      <c r="E908" s="124"/>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3641</v>
      </c>
      <c r="D912" s="88"/>
      <c r="W912" s="35" t="str">
        <f>"-- "&amp;B912&amp;" : "&amp;C912</f>
        <v>-- SQL_ID : 01_A6-51</v>
      </c>
    </row>
    <row r="913" spans="2:23" ht="18.75" customHeight="1">
      <c r="B913" s="43" t="s">
        <v>158</v>
      </c>
      <c r="C913" s="127" t="str">
        <f>R916&amp;"登録"</f>
        <v>バックアップ_MML_報告書情報モジュール_検査コメント登録</v>
      </c>
      <c r="D913" s="128"/>
      <c r="E913" s="128"/>
      <c r="F913" s="128"/>
      <c r="G913" s="128"/>
      <c r="H913" s="128"/>
      <c r="I913" s="128"/>
      <c r="J913" s="128"/>
      <c r="K913" s="128"/>
      <c r="L913" s="128"/>
      <c r="M913" s="128"/>
      <c r="N913" s="128"/>
      <c r="O913" s="128"/>
      <c r="P913" s="128"/>
      <c r="Q913" s="128"/>
      <c r="R913" s="128"/>
      <c r="S913" s="128"/>
      <c r="T913" s="128"/>
      <c r="U913" s="129"/>
      <c r="W913" s="35" t="str">
        <f>"-- "&amp;C913</f>
        <v>-- バックアップ_MML_報告書情報モジュール_検査コメント登録</v>
      </c>
    </row>
    <row r="914" spans="2:23" ht="18.75" customHeight="1">
      <c r="B914" s="43" t="s">
        <v>159</v>
      </c>
      <c r="C914" s="130"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31"/>
      <c r="E914" s="131"/>
      <c r="F914" s="131"/>
      <c r="G914" s="131"/>
      <c r="H914" s="131"/>
      <c r="I914" s="131"/>
      <c r="J914" s="131"/>
      <c r="K914" s="131"/>
      <c r="L914" s="131"/>
      <c r="M914" s="131"/>
      <c r="N914" s="131"/>
      <c r="O914" s="131"/>
      <c r="P914" s="131"/>
      <c r="Q914" s="131"/>
      <c r="R914" s="131"/>
      <c r="S914" s="131"/>
      <c r="T914" s="131"/>
      <c r="U914" s="132"/>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19" t="s">
        <v>3642</v>
      </c>
      <c r="D916" s="120"/>
      <c r="E916" s="125" t="s">
        <v>162</v>
      </c>
      <c r="H916" s="36"/>
      <c r="I916" s="36"/>
      <c r="J916" s="36"/>
      <c r="K916" s="36"/>
      <c r="L916" s="36"/>
      <c r="M916" s="36"/>
      <c r="N916" s="36"/>
      <c r="O916" s="36"/>
      <c r="P916" s="36"/>
      <c r="Q916" s="36"/>
      <c r="R916" s="133" t="str">
        <f>"バックアップ_"&amp;SUBSTITUTE(C916,"_結合","")</f>
        <v>バックアップ_MML_報告書情報モジュール_検査コメント</v>
      </c>
      <c r="S916" s="134"/>
      <c r="T916" s="123" t="str">
        <f>エンティティ一覧!$O$2</f>
        <v>milscm_2023_009</v>
      </c>
    </row>
    <row r="917" spans="2:23" ht="18.75" customHeight="1">
      <c r="C917" s="121"/>
      <c r="D917" s="122"/>
      <c r="E917" s="126"/>
      <c r="F917" s="37"/>
      <c r="G917" s="38"/>
      <c r="H917" s="37"/>
      <c r="I917" s="37"/>
      <c r="J917" s="37"/>
      <c r="K917" s="37"/>
      <c r="L917" s="37"/>
      <c r="M917" s="37"/>
      <c r="N917" s="37"/>
      <c r="O917" s="37"/>
      <c r="P917" s="37"/>
      <c r="Q917" s="37"/>
      <c r="R917" s="135"/>
      <c r="S917" s="136"/>
      <c r="T917" s="124"/>
    </row>
    <row r="918" spans="2:23" ht="18.75" customHeight="1">
      <c r="F918" s="39"/>
      <c r="G918" s="40"/>
    </row>
    <row r="919" spans="2:23" ht="18.75" customHeight="1">
      <c r="C919" s="119" t="s">
        <v>3183</v>
      </c>
      <c r="D919" s="120"/>
      <c r="E919" s="123" t="str">
        <f>エンティティ一覧!$O$2</f>
        <v>milscm_2023_009</v>
      </c>
      <c r="G919" s="41"/>
    </row>
    <row r="920" spans="2:23" ht="18.75" customHeight="1">
      <c r="C920" s="121"/>
      <c r="D920" s="122"/>
      <c r="E920" s="124"/>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3643</v>
      </c>
      <c r="D924" s="88"/>
      <c r="W924" s="35" t="str">
        <f>"-- "&amp;B924&amp;" : "&amp;C924</f>
        <v>-- SQL_ID : 01_A6-52</v>
      </c>
    </row>
    <row r="925" spans="2:23" ht="18.75" customHeight="1">
      <c r="B925" s="43" t="s">
        <v>158</v>
      </c>
      <c r="C925" s="127" t="str">
        <f>R928&amp;"登録"</f>
        <v>バックアップ_MML_生活習慣情報モジュール_本文登録</v>
      </c>
      <c r="D925" s="128"/>
      <c r="E925" s="128"/>
      <c r="F925" s="128"/>
      <c r="G925" s="128"/>
      <c r="H925" s="128"/>
      <c r="I925" s="128"/>
      <c r="J925" s="128"/>
      <c r="K925" s="128"/>
      <c r="L925" s="128"/>
      <c r="M925" s="128"/>
      <c r="N925" s="128"/>
      <c r="O925" s="128"/>
      <c r="P925" s="128"/>
      <c r="Q925" s="128"/>
      <c r="R925" s="128"/>
      <c r="S925" s="128"/>
      <c r="T925" s="128"/>
      <c r="U925" s="129"/>
      <c r="W925" s="35" t="str">
        <f>"-- "&amp;C925</f>
        <v>-- バックアップ_MML_生活習慣情報モジュール_本文登録</v>
      </c>
    </row>
    <row r="926" spans="2:23" ht="18.75" customHeight="1">
      <c r="B926" s="43" t="s">
        <v>159</v>
      </c>
      <c r="C926" s="130"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31"/>
      <c r="E926" s="131"/>
      <c r="F926" s="131"/>
      <c r="G926" s="131"/>
      <c r="H926" s="131"/>
      <c r="I926" s="131"/>
      <c r="J926" s="131"/>
      <c r="K926" s="131"/>
      <c r="L926" s="131"/>
      <c r="M926" s="131"/>
      <c r="N926" s="131"/>
      <c r="O926" s="131"/>
      <c r="P926" s="131"/>
      <c r="Q926" s="131"/>
      <c r="R926" s="131"/>
      <c r="S926" s="131"/>
      <c r="T926" s="131"/>
      <c r="U926" s="132"/>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19" t="s">
        <v>3644</v>
      </c>
      <c r="D928" s="120"/>
      <c r="E928" s="125" t="s">
        <v>162</v>
      </c>
      <c r="H928" s="36"/>
      <c r="I928" s="36"/>
      <c r="J928" s="36"/>
      <c r="K928" s="36"/>
      <c r="L928" s="36"/>
      <c r="M928" s="36"/>
      <c r="N928" s="36"/>
      <c r="O928" s="36"/>
      <c r="P928" s="36"/>
      <c r="Q928" s="36"/>
      <c r="R928" s="119" t="str">
        <f>"バックアップ_"&amp;SUBSTITUTE(C928,"_結合","")</f>
        <v>バックアップ_MML_生活習慣情報モジュール_本文</v>
      </c>
      <c r="S928" s="120"/>
      <c r="T928" s="123" t="str">
        <f>エンティティ一覧!$O$2</f>
        <v>milscm_2023_009</v>
      </c>
    </row>
    <row r="929" spans="2:23" ht="18.75" customHeight="1">
      <c r="C929" s="121"/>
      <c r="D929" s="122"/>
      <c r="E929" s="126"/>
      <c r="F929" s="37"/>
      <c r="G929" s="38"/>
      <c r="H929" s="37"/>
      <c r="I929" s="37"/>
      <c r="J929" s="37"/>
      <c r="K929" s="37"/>
      <c r="L929" s="37"/>
      <c r="M929" s="37"/>
      <c r="N929" s="37"/>
      <c r="O929" s="37"/>
      <c r="P929" s="37"/>
      <c r="Q929" s="37"/>
      <c r="R929" s="121"/>
      <c r="S929" s="122"/>
      <c r="T929" s="124"/>
    </row>
    <row r="930" spans="2:23" ht="18.75" customHeight="1">
      <c r="F930" s="39"/>
      <c r="G930" s="40"/>
    </row>
    <row r="931" spans="2:23" ht="18.75" customHeight="1">
      <c r="C931" s="119" t="s">
        <v>3183</v>
      </c>
      <c r="D931" s="120"/>
      <c r="E931" s="123" t="str">
        <f>エンティティ一覧!$O$2</f>
        <v>milscm_2023_009</v>
      </c>
      <c r="G931" s="41"/>
    </row>
    <row r="932" spans="2:23" ht="18.75" customHeight="1">
      <c r="C932" s="121"/>
      <c r="D932" s="122"/>
      <c r="E932" s="124"/>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3645</v>
      </c>
      <c r="D936" s="88"/>
      <c r="W936" s="35" t="str">
        <f>"-- "&amp;B936&amp;" : "&amp;C936</f>
        <v>-- SQL_ID : 01_A6-53</v>
      </c>
    </row>
    <row r="937" spans="2:23" ht="18.75" customHeight="1">
      <c r="B937" s="43" t="s">
        <v>158</v>
      </c>
      <c r="C937" s="127" t="str">
        <f>R940&amp;"登録"</f>
        <v>バックアップ_MML_紹介状モジュール_本文登録</v>
      </c>
      <c r="D937" s="128"/>
      <c r="E937" s="128"/>
      <c r="F937" s="128"/>
      <c r="G937" s="128"/>
      <c r="H937" s="128"/>
      <c r="I937" s="128"/>
      <c r="J937" s="128"/>
      <c r="K937" s="128"/>
      <c r="L937" s="128"/>
      <c r="M937" s="128"/>
      <c r="N937" s="128"/>
      <c r="O937" s="128"/>
      <c r="P937" s="128"/>
      <c r="Q937" s="128"/>
      <c r="R937" s="128"/>
      <c r="S937" s="128"/>
      <c r="T937" s="128"/>
      <c r="U937" s="129"/>
      <c r="W937" s="35" t="str">
        <f>"-- "&amp;C937</f>
        <v>-- バックアップ_MML_紹介状モジュール_本文登録</v>
      </c>
    </row>
    <row r="938" spans="2:23" ht="18.75" customHeight="1">
      <c r="B938" s="43" t="s">
        <v>159</v>
      </c>
      <c r="C938" s="130"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31"/>
      <c r="E938" s="131"/>
      <c r="F938" s="131"/>
      <c r="G938" s="131"/>
      <c r="H938" s="131"/>
      <c r="I938" s="131"/>
      <c r="J938" s="131"/>
      <c r="K938" s="131"/>
      <c r="L938" s="131"/>
      <c r="M938" s="131"/>
      <c r="N938" s="131"/>
      <c r="O938" s="131"/>
      <c r="P938" s="131"/>
      <c r="Q938" s="131"/>
      <c r="R938" s="131"/>
      <c r="S938" s="131"/>
      <c r="T938" s="131"/>
      <c r="U938" s="132"/>
      <c r="W938" s="35" t="str">
        <f>"-- "&amp;C938</f>
        <v>-- MML_紹介状モジュール_本文テーブルから組入れ条件の第一条件で絞り込んだ結果をバックアップ_MML_紹介状モジュール_本文テーブルに格納する。</v>
      </c>
    </row>
    <row r="940" spans="2:23" ht="18.75" customHeight="1">
      <c r="C940" s="119" t="s">
        <v>3646</v>
      </c>
      <c r="D940" s="120"/>
      <c r="E940" s="125" t="s">
        <v>162</v>
      </c>
      <c r="H940" s="36"/>
      <c r="I940" s="36"/>
      <c r="J940" s="36"/>
      <c r="K940" s="36"/>
      <c r="L940" s="36"/>
      <c r="M940" s="36"/>
      <c r="N940" s="36"/>
      <c r="O940" s="36"/>
      <c r="P940" s="36"/>
      <c r="Q940" s="36"/>
      <c r="R940" s="119" t="str">
        <f>"バックアップ_"&amp;SUBSTITUTE(C940,"_結合","")</f>
        <v>バックアップ_MML_紹介状モジュール_本文</v>
      </c>
      <c r="S940" s="120"/>
      <c r="T940" s="123" t="str">
        <f>エンティティ一覧!$O$2</f>
        <v>milscm_2023_009</v>
      </c>
    </row>
    <row r="941" spans="2:23" ht="18.75" customHeight="1">
      <c r="C941" s="121"/>
      <c r="D941" s="122"/>
      <c r="E941" s="126"/>
      <c r="F941" s="37"/>
      <c r="G941" s="38"/>
      <c r="H941" s="37"/>
      <c r="I941" s="37"/>
      <c r="J941" s="37"/>
      <c r="K941" s="37"/>
      <c r="L941" s="37"/>
      <c r="M941" s="37"/>
      <c r="N941" s="37"/>
      <c r="O941" s="37"/>
      <c r="P941" s="37"/>
      <c r="Q941" s="37"/>
      <c r="R941" s="121"/>
      <c r="S941" s="122"/>
      <c r="T941" s="124"/>
    </row>
    <row r="942" spans="2:23" ht="18.75" customHeight="1">
      <c r="F942" s="39"/>
      <c r="G942" s="40"/>
    </row>
    <row r="943" spans="2:23" ht="18.75" customHeight="1">
      <c r="C943" s="119" t="s">
        <v>3183</v>
      </c>
      <c r="D943" s="120"/>
      <c r="E943" s="123" t="str">
        <f>エンティティ一覧!$O$2</f>
        <v>milscm_2023_009</v>
      </c>
      <c r="G943" s="41"/>
    </row>
    <row r="944" spans="2:23" ht="18.75" customHeight="1">
      <c r="C944" s="121"/>
      <c r="D944" s="122"/>
      <c r="E944" s="124"/>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3647</v>
      </c>
      <c r="D948" s="88"/>
      <c r="W948" s="35" t="str">
        <f>"-- "&amp;B948&amp;" : "&amp;C948</f>
        <v>-- SQL_ID : 01_A6-54</v>
      </c>
    </row>
    <row r="949" spans="2:23" ht="18.75" customHeight="1">
      <c r="B949" s="43" t="s">
        <v>158</v>
      </c>
      <c r="C949" s="127" t="str">
        <f>R952&amp;"登録"</f>
        <v>バックアップ_MML_紹介状モジュール_注射記録登録</v>
      </c>
      <c r="D949" s="128"/>
      <c r="E949" s="128"/>
      <c r="F949" s="128"/>
      <c r="G949" s="128"/>
      <c r="H949" s="128"/>
      <c r="I949" s="128"/>
      <c r="J949" s="128"/>
      <c r="K949" s="128"/>
      <c r="L949" s="128"/>
      <c r="M949" s="128"/>
      <c r="N949" s="128"/>
      <c r="O949" s="128"/>
      <c r="P949" s="128"/>
      <c r="Q949" s="128"/>
      <c r="R949" s="128"/>
      <c r="S949" s="128"/>
      <c r="T949" s="128"/>
      <c r="U949" s="129"/>
      <c r="W949" s="35" t="str">
        <f>"-- "&amp;C949</f>
        <v>-- バックアップ_MML_紹介状モジュール_注射記録登録</v>
      </c>
    </row>
    <row r="950" spans="2:23" ht="18.75" customHeight="1">
      <c r="B950" s="43" t="s">
        <v>159</v>
      </c>
      <c r="C950" s="130"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31"/>
      <c r="E950" s="131"/>
      <c r="F950" s="131"/>
      <c r="G950" s="131"/>
      <c r="H950" s="131"/>
      <c r="I950" s="131"/>
      <c r="J950" s="131"/>
      <c r="K950" s="131"/>
      <c r="L950" s="131"/>
      <c r="M950" s="131"/>
      <c r="N950" s="131"/>
      <c r="O950" s="131"/>
      <c r="P950" s="131"/>
      <c r="Q950" s="131"/>
      <c r="R950" s="131"/>
      <c r="S950" s="131"/>
      <c r="T950" s="131"/>
      <c r="U950" s="132"/>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19" t="s">
        <v>3648</v>
      </c>
      <c r="D952" s="120"/>
      <c r="E952" s="125" t="s">
        <v>162</v>
      </c>
      <c r="H952" s="36"/>
      <c r="I952" s="36"/>
      <c r="J952" s="36"/>
      <c r="K952" s="36"/>
      <c r="L952" s="36"/>
      <c r="M952" s="36"/>
      <c r="N952" s="36"/>
      <c r="O952" s="36"/>
      <c r="P952" s="36"/>
      <c r="Q952" s="36"/>
      <c r="R952" s="119" t="str">
        <f>"バックアップ_"&amp;SUBSTITUTE(C952,"_結合","")</f>
        <v>バックアップ_MML_紹介状モジュール_注射記録</v>
      </c>
      <c r="S952" s="120"/>
      <c r="T952" s="123" t="str">
        <f>エンティティ一覧!$O$2</f>
        <v>milscm_2023_009</v>
      </c>
    </row>
    <row r="953" spans="2:23" ht="18.75" customHeight="1">
      <c r="C953" s="121"/>
      <c r="D953" s="122"/>
      <c r="E953" s="126"/>
      <c r="F953" s="37"/>
      <c r="G953" s="38"/>
      <c r="H953" s="37"/>
      <c r="I953" s="37"/>
      <c r="J953" s="37"/>
      <c r="K953" s="37"/>
      <c r="L953" s="37"/>
      <c r="M953" s="37"/>
      <c r="N953" s="37"/>
      <c r="O953" s="37"/>
      <c r="P953" s="37"/>
      <c r="Q953" s="37"/>
      <c r="R953" s="121"/>
      <c r="S953" s="122"/>
      <c r="T953" s="124"/>
    </row>
    <row r="954" spans="2:23" ht="18.75" customHeight="1">
      <c r="F954" s="39"/>
      <c r="G954" s="40"/>
    </row>
    <row r="955" spans="2:23" ht="18.75" customHeight="1">
      <c r="C955" s="119" t="s">
        <v>3183</v>
      </c>
      <c r="D955" s="120"/>
      <c r="E955" s="123" t="str">
        <f>エンティティ一覧!$O$2</f>
        <v>milscm_2023_009</v>
      </c>
      <c r="G955" s="41"/>
    </row>
    <row r="956" spans="2:23" ht="18.75" customHeight="1">
      <c r="C956" s="121"/>
      <c r="D956" s="122"/>
      <c r="E956" s="124"/>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3649</v>
      </c>
      <c r="D960" s="88"/>
      <c r="W960" s="35" t="str">
        <f>"-- "&amp;B960&amp;" : "&amp;C960</f>
        <v>-- SQL_ID : 01_A6-55</v>
      </c>
    </row>
    <row r="961" spans="2:23" ht="18.75" customHeight="1">
      <c r="B961" s="43" t="s">
        <v>158</v>
      </c>
      <c r="C961" s="127" t="str">
        <f>R964&amp;"登録"</f>
        <v>バックアップ_MML_紹介状モジュール_注射記録投薬登録</v>
      </c>
      <c r="D961" s="128"/>
      <c r="E961" s="128"/>
      <c r="F961" s="128"/>
      <c r="G961" s="128"/>
      <c r="H961" s="128"/>
      <c r="I961" s="128"/>
      <c r="J961" s="128"/>
      <c r="K961" s="128"/>
      <c r="L961" s="128"/>
      <c r="M961" s="128"/>
      <c r="N961" s="128"/>
      <c r="O961" s="128"/>
      <c r="P961" s="128"/>
      <c r="Q961" s="128"/>
      <c r="R961" s="128"/>
      <c r="S961" s="128"/>
      <c r="T961" s="128"/>
      <c r="U961" s="129"/>
      <c r="W961" s="35" t="str">
        <f>"-- "&amp;C961</f>
        <v>-- バックアップ_MML_紹介状モジュール_注射記録投薬登録</v>
      </c>
    </row>
    <row r="962" spans="2:23" ht="18.75" customHeight="1">
      <c r="B962" s="43" t="s">
        <v>159</v>
      </c>
      <c r="C962" s="130"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31"/>
      <c r="E962" s="131"/>
      <c r="F962" s="131"/>
      <c r="G962" s="131"/>
      <c r="H962" s="131"/>
      <c r="I962" s="131"/>
      <c r="J962" s="131"/>
      <c r="K962" s="131"/>
      <c r="L962" s="131"/>
      <c r="M962" s="131"/>
      <c r="N962" s="131"/>
      <c r="O962" s="131"/>
      <c r="P962" s="131"/>
      <c r="Q962" s="131"/>
      <c r="R962" s="131"/>
      <c r="S962" s="131"/>
      <c r="T962" s="131"/>
      <c r="U962" s="132"/>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19" t="s">
        <v>3650</v>
      </c>
      <c r="D964" s="120"/>
      <c r="E964" s="125" t="s">
        <v>162</v>
      </c>
      <c r="H964" s="36"/>
      <c r="I964" s="36"/>
      <c r="J964" s="36"/>
      <c r="K964" s="36"/>
      <c r="L964" s="36"/>
      <c r="M964" s="36"/>
      <c r="N964" s="36"/>
      <c r="O964" s="36"/>
      <c r="P964" s="36"/>
      <c r="Q964" s="36"/>
      <c r="R964" s="119" t="str">
        <f>"バックアップ_"&amp;SUBSTITUTE(C964,"_結合","")</f>
        <v>バックアップ_MML_紹介状モジュール_注射記録投薬</v>
      </c>
      <c r="S964" s="120"/>
      <c r="T964" s="123" t="str">
        <f>エンティティ一覧!$O$2</f>
        <v>milscm_2023_009</v>
      </c>
    </row>
    <row r="965" spans="2:23" ht="18.75" customHeight="1">
      <c r="C965" s="121"/>
      <c r="D965" s="122"/>
      <c r="E965" s="126"/>
      <c r="F965" s="37"/>
      <c r="G965" s="38"/>
      <c r="H965" s="37"/>
      <c r="I965" s="37"/>
      <c r="J965" s="37"/>
      <c r="K965" s="37"/>
      <c r="L965" s="37"/>
      <c r="M965" s="37"/>
      <c r="N965" s="37"/>
      <c r="O965" s="37"/>
      <c r="P965" s="37"/>
      <c r="Q965" s="37"/>
      <c r="R965" s="121"/>
      <c r="S965" s="122"/>
      <c r="T965" s="124"/>
    </row>
    <row r="966" spans="2:23" ht="18.75" customHeight="1">
      <c r="F966" s="39"/>
      <c r="G966" s="40"/>
    </row>
    <row r="967" spans="2:23" ht="18.75" customHeight="1">
      <c r="C967" s="119" t="s">
        <v>3183</v>
      </c>
      <c r="D967" s="120"/>
      <c r="E967" s="123" t="str">
        <f>エンティティ一覧!$O$2</f>
        <v>milscm_2023_009</v>
      </c>
      <c r="G967" s="41"/>
    </row>
    <row r="968" spans="2:23" ht="18.75" customHeight="1">
      <c r="C968" s="121"/>
      <c r="D968" s="122"/>
      <c r="E968" s="124"/>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3651</v>
      </c>
      <c r="D972" s="88"/>
      <c r="W972" s="35" t="str">
        <f>"-- "&amp;B972&amp;" : "&amp;C972</f>
        <v>-- SQL_ID : 01_A6-56</v>
      </c>
    </row>
    <row r="973" spans="2:23" ht="18.75" customHeight="1">
      <c r="B973" s="43" t="s">
        <v>158</v>
      </c>
      <c r="C973" s="127" t="str">
        <f>R976&amp;"登録"</f>
        <v>バックアップ_MML_紹介状モジュール_注射記録薬剤登録</v>
      </c>
      <c r="D973" s="128"/>
      <c r="E973" s="128"/>
      <c r="F973" s="128"/>
      <c r="G973" s="128"/>
      <c r="H973" s="128"/>
      <c r="I973" s="128"/>
      <c r="J973" s="128"/>
      <c r="K973" s="128"/>
      <c r="L973" s="128"/>
      <c r="M973" s="128"/>
      <c r="N973" s="128"/>
      <c r="O973" s="128"/>
      <c r="P973" s="128"/>
      <c r="Q973" s="128"/>
      <c r="R973" s="128"/>
      <c r="S973" s="128"/>
      <c r="T973" s="128"/>
      <c r="U973" s="129"/>
      <c r="W973" s="35" t="str">
        <f>"-- "&amp;C973</f>
        <v>-- バックアップ_MML_紹介状モジュール_注射記録薬剤登録</v>
      </c>
    </row>
    <row r="974" spans="2:23" ht="18.75" customHeight="1">
      <c r="B974" s="43" t="s">
        <v>159</v>
      </c>
      <c r="C974" s="130"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31"/>
      <c r="E974" s="131"/>
      <c r="F974" s="131"/>
      <c r="G974" s="131"/>
      <c r="H974" s="131"/>
      <c r="I974" s="131"/>
      <c r="J974" s="131"/>
      <c r="K974" s="131"/>
      <c r="L974" s="131"/>
      <c r="M974" s="131"/>
      <c r="N974" s="131"/>
      <c r="O974" s="131"/>
      <c r="P974" s="131"/>
      <c r="Q974" s="131"/>
      <c r="R974" s="131"/>
      <c r="S974" s="131"/>
      <c r="T974" s="131"/>
      <c r="U974" s="132"/>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19" t="s">
        <v>3652</v>
      </c>
      <c r="D976" s="120"/>
      <c r="E976" s="125" t="s">
        <v>162</v>
      </c>
      <c r="H976" s="36"/>
      <c r="I976" s="36"/>
      <c r="J976" s="36"/>
      <c r="K976" s="36"/>
      <c r="L976" s="36"/>
      <c r="M976" s="36"/>
      <c r="N976" s="36"/>
      <c r="O976" s="36"/>
      <c r="P976" s="36"/>
      <c r="Q976" s="36"/>
      <c r="R976" s="119" t="str">
        <f>"バックアップ_"&amp;SUBSTITUTE(C976,"_結合","")</f>
        <v>バックアップ_MML_紹介状モジュール_注射記録薬剤</v>
      </c>
      <c r="S976" s="120"/>
      <c r="T976" s="123" t="str">
        <f>エンティティ一覧!$O$2</f>
        <v>milscm_2023_009</v>
      </c>
    </row>
    <row r="977" spans="2:23" ht="18.75" customHeight="1">
      <c r="C977" s="121"/>
      <c r="D977" s="122"/>
      <c r="E977" s="126"/>
      <c r="F977" s="37"/>
      <c r="G977" s="38"/>
      <c r="H977" s="37"/>
      <c r="I977" s="37"/>
      <c r="J977" s="37"/>
      <c r="K977" s="37"/>
      <c r="L977" s="37"/>
      <c r="M977" s="37"/>
      <c r="N977" s="37"/>
      <c r="O977" s="37"/>
      <c r="P977" s="37"/>
      <c r="Q977" s="37"/>
      <c r="R977" s="121"/>
      <c r="S977" s="122"/>
      <c r="T977" s="124"/>
    </row>
    <row r="978" spans="2:23" ht="18.75" customHeight="1">
      <c r="F978" s="39"/>
      <c r="G978" s="40"/>
    </row>
    <row r="979" spans="2:23" ht="18.75" customHeight="1">
      <c r="C979" s="119" t="s">
        <v>3183</v>
      </c>
      <c r="D979" s="120"/>
      <c r="E979" s="123" t="str">
        <f>エンティティ一覧!$O$2</f>
        <v>milscm_2023_009</v>
      </c>
      <c r="G979" s="41"/>
    </row>
    <row r="980" spans="2:23" ht="18.75" customHeight="1">
      <c r="C980" s="121"/>
      <c r="D980" s="122"/>
      <c r="E980" s="124"/>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3653</v>
      </c>
      <c r="D984" s="88"/>
      <c r="W984" s="35" t="str">
        <f>"-- "&amp;B984&amp;" : "&amp;C984</f>
        <v>-- SQL_ID : 01_A6-57</v>
      </c>
    </row>
    <row r="985" spans="2:23" ht="18.75" customHeight="1">
      <c r="B985" s="43" t="s">
        <v>158</v>
      </c>
      <c r="C985" s="127" t="str">
        <f>R988&amp;"登録"</f>
        <v>バックアップ_MML_紹介状モジュール_患者情報登録</v>
      </c>
      <c r="D985" s="128"/>
      <c r="E985" s="128"/>
      <c r="F985" s="128"/>
      <c r="G985" s="128"/>
      <c r="H985" s="128"/>
      <c r="I985" s="128"/>
      <c r="J985" s="128"/>
      <c r="K985" s="128"/>
      <c r="L985" s="128"/>
      <c r="M985" s="128"/>
      <c r="N985" s="128"/>
      <c r="O985" s="128"/>
      <c r="P985" s="128"/>
      <c r="Q985" s="128"/>
      <c r="R985" s="128"/>
      <c r="S985" s="128"/>
      <c r="T985" s="128"/>
      <c r="U985" s="129"/>
      <c r="W985" s="35" t="str">
        <f>"-- "&amp;C985</f>
        <v>-- バックアップ_MML_紹介状モジュール_患者情報登録</v>
      </c>
    </row>
    <row r="986" spans="2:23" ht="18.75" customHeight="1">
      <c r="B986" s="43" t="s">
        <v>159</v>
      </c>
      <c r="C986" s="130"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31"/>
      <c r="E986" s="131"/>
      <c r="F986" s="131"/>
      <c r="G986" s="131"/>
      <c r="H986" s="131"/>
      <c r="I986" s="131"/>
      <c r="J986" s="131"/>
      <c r="K986" s="131"/>
      <c r="L986" s="131"/>
      <c r="M986" s="131"/>
      <c r="N986" s="131"/>
      <c r="O986" s="131"/>
      <c r="P986" s="131"/>
      <c r="Q986" s="131"/>
      <c r="R986" s="131"/>
      <c r="S986" s="131"/>
      <c r="T986" s="131"/>
      <c r="U986" s="132"/>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19" t="s">
        <v>3654</v>
      </c>
      <c r="D988" s="120"/>
      <c r="E988" s="125" t="s">
        <v>162</v>
      </c>
      <c r="H988" s="36"/>
      <c r="I988" s="36"/>
      <c r="J988" s="36"/>
      <c r="K988" s="36"/>
      <c r="L988" s="36"/>
      <c r="M988" s="36"/>
      <c r="N988" s="36"/>
      <c r="O988" s="36"/>
      <c r="P988" s="36"/>
      <c r="Q988" s="36"/>
      <c r="R988" s="119" t="str">
        <f>"バックアップ_"&amp;SUBSTITUTE(C988,"_結合","")</f>
        <v>バックアップ_MML_紹介状モジュール_患者情報</v>
      </c>
      <c r="S988" s="120"/>
      <c r="T988" s="123" t="str">
        <f>エンティティ一覧!$O$2</f>
        <v>milscm_2023_009</v>
      </c>
    </row>
    <row r="989" spans="2:23" ht="18.75" customHeight="1">
      <c r="C989" s="121"/>
      <c r="D989" s="122"/>
      <c r="E989" s="126"/>
      <c r="F989" s="37"/>
      <c r="G989" s="38"/>
      <c r="H989" s="37"/>
      <c r="I989" s="37"/>
      <c r="J989" s="37"/>
      <c r="K989" s="37"/>
      <c r="L989" s="37"/>
      <c r="M989" s="37"/>
      <c r="N989" s="37"/>
      <c r="O989" s="37"/>
      <c r="P989" s="37"/>
      <c r="Q989" s="37"/>
      <c r="R989" s="121"/>
      <c r="S989" s="122"/>
      <c r="T989" s="124"/>
    </row>
    <row r="990" spans="2:23" ht="18.75" customHeight="1">
      <c r="F990" s="39"/>
      <c r="G990" s="40"/>
    </row>
    <row r="991" spans="2:23" ht="18.75" customHeight="1">
      <c r="C991" s="119" t="s">
        <v>3183</v>
      </c>
      <c r="D991" s="120"/>
      <c r="E991" s="123" t="str">
        <f>エンティティ一覧!$O$2</f>
        <v>milscm_2023_009</v>
      </c>
      <c r="G991" s="41"/>
    </row>
    <row r="992" spans="2:23" ht="18.75" customHeight="1">
      <c r="C992" s="121"/>
      <c r="D992" s="122"/>
      <c r="E992" s="124"/>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3655</v>
      </c>
      <c r="D996" s="88"/>
      <c r="W996" s="35" t="str">
        <f>"-- "&amp;B996&amp;" : "&amp;C996</f>
        <v>-- SQL_ID : 01_A6-58</v>
      </c>
    </row>
    <row r="997" spans="2:23" ht="18.75" customHeight="1">
      <c r="B997" s="43" t="s">
        <v>158</v>
      </c>
      <c r="C997" s="127" t="str">
        <f>R1000&amp;"登録"</f>
        <v>バックアップ_MML_紹介状モジュール_患者情報住所登録</v>
      </c>
      <c r="D997" s="128"/>
      <c r="E997" s="128"/>
      <c r="F997" s="128"/>
      <c r="G997" s="128"/>
      <c r="H997" s="128"/>
      <c r="I997" s="128"/>
      <c r="J997" s="128"/>
      <c r="K997" s="128"/>
      <c r="L997" s="128"/>
      <c r="M997" s="128"/>
      <c r="N997" s="128"/>
      <c r="O997" s="128"/>
      <c r="P997" s="128"/>
      <c r="Q997" s="128"/>
      <c r="R997" s="128"/>
      <c r="S997" s="128"/>
      <c r="T997" s="128"/>
      <c r="U997" s="129"/>
      <c r="W997" s="35" t="str">
        <f>"-- "&amp;C997</f>
        <v>-- バックアップ_MML_紹介状モジュール_患者情報住所登録</v>
      </c>
    </row>
    <row r="998" spans="2:23" ht="18.75" customHeight="1">
      <c r="B998" s="43" t="s">
        <v>159</v>
      </c>
      <c r="C998" s="130"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31"/>
      <c r="E998" s="131"/>
      <c r="F998" s="131"/>
      <c r="G998" s="131"/>
      <c r="H998" s="131"/>
      <c r="I998" s="131"/>
      <c r="J998" s="131"/>
      <c r="K998" s="131"/>
      <c r="L998" s="131"/>
      <c r="M998" s="131"/>
      <c r="N998" s="131"/>
      <c r="O998" s="131"/>
      <c r="P998" s="131"/>
      <c r="Q998" s="131"/>
      <c r="R998" s="131"/>
      <c r="S998" s="131"/>
      <c r="T998" s="131"/>
      <c r="U998" s="132"/>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19" t="s">
        <v>3656</v>
      </c>
      <c r="D1000" s="120"/>
      <c r="E1000" s="125" t="s">
        <v>162</v>
      </c>
      <c r="H1000" s="36"/>
      <c r="I1000" s="36"/>
      <c r="J1000" s="36"/>
      <c r="K1000" s="36"/>
      <c r="L1000" s="36"/>
      <c r="M1000" s="36"/>
      <c r="N1000" s="36"/>
      <c r="O1000" s="36"/>
      <c r="P1000" s="36"/>
      <c r="Q1000" s="36"/>
      <c r="R1000" s="119" t="str">
        <f>"バックアップ_"&amp;SUBSTITUTE(C1000,"_結合","")</f>
        <v>バックアップ_MML_紹介状モジュール_患者情報住所</v>
      </c>
      <c r="S1000" s="120"/>
      <c r="T1000" s="123" t="str">
        <f>エンティティ一覧!$O$2</f>
        <v>milscm_2023_009</v>
      </c>
    </row>
    <row r="1001" spans="2:23" ht="18.75" customHeight="1">
      <c r="C1001" s="121"/>
      <c r="D1001" s="122"/>
      <c r="E1001" s="126"/>
      <c r="F1001" s="37"/>
      <c r="G1001" s="38"/>
      <c r="H1001" s="37"/>
      <c r="I1001" s="37"/>
      <c r="J1001" s="37"/>
      <c r="K1001" s="37"/>
      <c r="L1001" s="37"/>
      <c r="M1001" s="37"/>
      <c r="N1001" s="37"/>
      <c r="O1001" s="37"/>
      <c r="P1001" s="37"/>
      <c r="Q1001" s="37"/>
      <c r="R1001" s="121"/>
      <c r="S1001" s="122"/>
      <c r="T1001" s="124"/>
    </row>
    <row r="1002" spans="2:23" ht="18.75" customHeight="1">
      <c r="F1002" s="39"/>
      <c r="G1002" s="40"/>
    </row>
    <row r="1003" spans="2:23" ht="18.75" customHeight="1">
      <c r="C1003" s="119" t="s">
        <v>3183</v>
      </c>
      <c r="D1003" s="120"/>
      <c r="E1003" s="123" t="str">
        <f>エンティティ一覧!$O$2</f>
        <v>milscm_2023_009</v>
      </c>
      <c r="G1003" s="41"/>
    </row>
    <row r="1004" spans="2:23" ht="18.75" customHeight="1">
      <c r="C1004" s="121"/>
      <c r="D1004" s="122"/>
      <c r="E1004" s="124"/>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3657</v>
      </c>
      <c r="D1008" s="88"/>
      <c r="W1008" s="35" t="str">
        <f>"-- "&amp;B1008&amp;" : "&amp;C1008</f>
        <v>-- SQL_ID : 01_A6-59</v>
      </c>
    </row>
    <row r="1009" spans="2:23" ht="18.75" customHeight="1">
      <c r="B1009" s="43" t="s">
        <v>158</v>
      </c>
      <c r="C1009" s="127" t="str">
        <f>R1012&amp;"登録"</f>
        <v>バックアップ_MML_紹介状モジュール_処方箋登録</v>
      </c>
      <c r="D1009" s="128"/>
      <c r="E1009" s="128"/>
      <c r="F1009" s="128"/>
      <c r="G1009" s="128"/>
      <c r="H1009" s="128"/>
      <c r="I1009" s="128"/>
      <c r="J1009" s="128"/>
      <c r="K1009" s="128"/>
      <c r="L1009" s="128"/>
      <c r="M1009" s="128"/>
      <c r="N1009" s="128"/>
      <c r="O1009" s="128"/>
      <c r="P1009" s="128"/>
      <c r="Q1009" s="128"/>
      <c r="R1009" s="128"/>
      <c r="S1009" s="128"/>
      <c r="T1009" s="128"/>
      <c r="U1009" s="129"/>
      <c r="W1009" s="35" t="str">
        <f>"-- "&amp;C1009</f>
        <v>-- バックアップ_MML_紹介状モジュール_処方箋登録</v>
      </c>
    </row>
    <row r="1010" spans="2:23" ht="18.75" customHeight="1">
      <c r="B1010" s="43" t="s">
        <v>159</v>
      </c>
      <c r="C1010" s="130"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31"/>
      <c r="E1010" s="131"/>
      <c r="F1010" s="131"/>
      <c r="G1010" s="131"/>
      <c r="H1010" s="131"/>
      <c r="I1010" s="131"/>
      <c r="J1010" s="131"/>
      <c r="K1010" s="131"/>
      <c r="L1010" s="131"/>
      <c r="M1010" s="131"/>
      <c r="N1010" s="131"/>
      <c r="O1010" s="131"/>
      <c r="P1010" s="131"/>
      <c r="Q1010" s="131"/>
      <c r="R1010" s="131"/>
      <c r="S1010" s="131"/>
      <c r="T1010" s="131"/>
      <c r="U1010" s="132"/>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19" t="s">
        <v>3658</v>
      </c>
      <c r="D1012" s="120"/>
      <c r="E1012" s="125" t="s">
        <v>162</v>
      </c>
      <c r="H1012" s="36"/>
      <c r="I1012" s="36"/>
      <c r="J1012" s="36"/>
      <c r="K1012" s="36"/>
      <c r="L1012" s="36"/>
      <c r="M1012" s="36"/>
      <c r="N1012" s="36"/>
      <c r="O1012" s="36"/>
      <c r="P1012" s="36"/>
      <c r="Q1012" s="36"/>
      <c r="R1012" s="119" t="str">
        <f>"バックアップ_"&amp;SUBSTITUTE(C1012,"_結合","")</f>
        <v>バックアップ_MML_紹介状モジュール_処方箋</v>
      </c>
      <c r="S1012" s="120"/>
      <c r="T1012" s="123" t="str">
        <f>エンティティ一覧!$O$2</f>
        <v>milscm_2023_009</v>
      </c>
    </row>
    <row r="1013" spans="2:23" ht="18.75" customHeight="1">
      <c r="C1013" s="121"/>
      <c r="D1013" s="122"/>
      <c r="E1013" s="126"/>
      <c r="F1013" s="37"/>
      <c r="G1013" s="38"/>
      <c r="H1013" s="37"/>
      <c r="I1013" s="37"/>
      <c r="J1013" s="37"/>
      <c r="K1013" s="37"/>
      <c r="L1013" s="37"/>
      <c r="M1013" s="37"/>
      <c r="N1013" s="37"/>
      <c r="O1013" s="37"/>
      <c r="P1013" s="37"/>
      <c r="Q1013" s="37"/>
      <c r="R1013" s="121"/>
      <c r="S1013" s="122"/>
      <c r="T1013" s="124"/>
    </row>
    <row r="1014" spans="2:23" ht="18.75" customHeight="1">
      <c r="F1014" s="39"/>
      <c r="G1014" s="40"/>
    </row>
    <row r="1015" spans="2:23" ht="18.75" customHeight="1">
      <c r="C1015" s="119" t="s">
        <v>3183</v>
      </c>
      <c r="D1015" s="120"/>
      <c r="E1015" s="123" t="str">
        <f>エンティティ一覧!$O$2</f>
        <v>milscm_2023_009</v>
      </c>
      <c r="G1015" s="41"/>
    </row>
    <row r="1016" spans="2:23" ht="18.75" customHeight="1">
      <c r="C1016" s="121"/>
      <c r="D1016" s="122"/>
      <c r="E1016" s="124"/>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3659</v>
      </c>
      <c r="D1020" s="88"/>
      <c r="W1020" s="35" t="str">
        <f>"-- "&amp;B1020&amp;" : "&amp;C1020</f>
        <v>-- SQL_ID : 01_A6-60</v>
      </c>
    </row>
    <row r="1021" spans="2:23" ht="18.75" customHeight="1">
      <c r="B1021" s="43" t="s">
        <v>158</v>
      </c>
      <c r="C1021" s="127" t="str">
        <f>R1024&amp;"登録"</f>
        <v>バックアップ_MML_紹介状モジュール_処方箋投薬登録</v>
      </c>
      <c r="D1021" s="128"/>
      <c r="E1021" s="128"/>
      <c r="F1021" s="128"/>
      <c r="G1021" s="128"/>
      <c r="H1021" s="128"/>
      <c r="I1021" s="128"/>
      <c r="J1021" s="128"/>
      <c r="K1021" s="128"/>
      <c r="L1021" s="128"/>
      <c r="M1021" s="128"/>
      <c r="N1021" s="128"/>
      <c r="O1021" s="128"/>
      <c r="P1021" s="128"/>
      <c r="Q1021" s="128"/>
      <c r="R1021" s="128"/>
      <c r="S1021" s="128"/>
      <c r="T1021" s="128"/>
      <c r="U1021" s="129"/>
      <c r="W1021" s="35" t="str">
        <f>"-- "&amp;C1021</f>
        <v>-- バックアップ_MML_紹介状モジュール_処方箋投薬登録</v>
      </c>
    </row>
    <row r="1022" spans="2:23" ht="18.75" customHeight="1">
      <c r="B1022" s="43" t="s">
        <v>159</v>
      </c>
      <c r="C1022" s="130"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31"/>
      <c r="E1022" s="131"/>
      <c r="F1022" s="131"/>
      <c r="G1022" s="131"/>
      <c r="H1022" s="131"/>
      <c r="I1022" s="131"/>
      <c r="J1022" s="131"/>
      <c r="K1022" s="131"/>
      <c r="L1022" s="131"/>
      <c r="M1022" s="131"/>
      <c r="N1022" s="131"/>
      <c r="O1022" s="131"/>
      <c r="P1022" s="131"/>
      <c r="Q1022" s="131"/>
      <c r="R1022" s="131"/>
      <c r="S1022" s="131"/>
      <c r="T1022" s="131"/>
      <c r="U1022" s="132"/>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19" t="s">
        <v>3660</v>
      </c>
      <c r="D1024" s="120"/>
      <c r="E1024" s="125" t="s">
        <v>162</v>
      </c>
      <c r="H1024" s="36"/>
      <c r="I1024" s="36"/>
      <c r="J1024" s="36"/>
      <c r="K1024" s="36"/>
      <c r="L1024" s="36"/>
      <c r="M1024" s="36"/>
      <c r="N1024" s="36"/>
      <c r="O1024" s="36"/>
      <c r="P1024" s="36"/>
      <c r="Q1024" s="36"/>
      <c r="R1024" s="119" t="str">
        <f>"バックアップ_"&amp;SUBSTITUTE(C1024,"_結合","")</f>
        <v>バックアップ_MML_紹介状モジュール_処方箋投薬</v>
      </c>
      <c r="S1024" s="120"/>
      <c r="T1024" s="123" t="str">
        <f>エンティティ一覧!$O$2</f>
        <v>milscm_2023_009</v>
      </c>
    </row>
    <row r="1025" spans="2:23" ht="18.75" customHeight="1">
      <c r="C1025" s="121"/>
      <c r="D1025" s="122"/>
      <c r="E1025" s="126"/>
      <c r="F1025" s="37"/>
      <c r="G1025" s="38"/>
      <c r="H1025" s="37"/>
      <c r="I1025" s="37"/>
      <c r="J1025" s="37"/>
      <c r="K1025" s="37"/>
      <c r="L1025" s="37"/>
      <c r="M1025" s="37"/>
      <c r="N1025" s="37"/>
      <c r="O1025" s="37"/>
      <c r="P1025" s="37"/>
      <c r="Q1025" s="37"/>
      <c r="R1025" s="121"/>
      <c r="S1025" s="122"/>
      <c r="T1025" s="124"/>
    </row>
    <row r="1026" spans="2:23" ht="18.75" customHeight="1">
      <c r="F1026" s="39"/>
      <c r="G1026" s="40"/>
    </row>
    <row r="1027" spans="2:23" ht="18.75" customHeight="1">
      <c r="C1027" s="119" t="s">
        <v>3183</v>
      </c>
      <c r="D1027" s="120"/>
      <c r="E1027" s="123" t="str">
        <f>エンティティ一覧!$O$2</f>
        <v>milscm_2023_009</v>
      </c>
      <c r="G1027" s="41"/>
    </row>
    <row r="1028" spans="2:23" ht="18.75" customHeight="1">
      <c r="C1028" s="121"/>
      <c r="D1028" s="122"/>
      <c r="E1028" s="124"/>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3661</v>
      </c>
      <c r="D1032" s="88"/>
      <c r="W1032" s="35" t="str">
        <f>"-- "&amp;B1032&amp;" : "&amp;C1032</f>
        <v>-- SQL_ID : 01_A6-61</v>
      </c>
    </row>
    <row r="1033" spans="2:23" ht="18.75" customHeight="1">
      <c r="B1033" s="43" t="s">
        <v>158</v>
      </c>
      <c r="C1033" s="127" t="str">
        <f>R1036&amp;"登録"</f>
        <v>バックアップ_MML_紹介状モジュール_処方箋薬剤登録</v>
      </c>
      <c r="D1033" s="128"/>
      <c r="E1033" s="128"/>
      <c r="F1033" s="128"/>
      <c r="G1033" s="128"/>
      <c r="H1033" s="128"/>
      <c r="I1033" s="128"/>
      <c r="J1033" s="128"/>
      <c r="K1033" s="128"/>
      <c r="L1033" s="128"/>
      <c r="M1033" s="128"/>
      <c r="N1033" s="128"/>
      <c r="O1033" s="128"/>
      <c r="P1033" s="128"/>
      <c r="Q1033" s="128"/>
      <c r="R1033" s="128"/>
      <c r="S1033" s="128"/>
      <c r="T1033" s="128"/>
      <c r="U1033" s="129"/>
      <c r="W1033" s="35" t="str">
        <f>"-- "&amp;C1033</f>
        <v>-- バックアップ_MML_紹介状モジュール_処方箋薬剤登録</v>
      </c>
    </row>
    <row r="1034" spans="2:23" ht="18.75" customHeight="1">
      <c r="B1034" s="43" t="s">
        <v>159</v>
      </c>
      <c r="C1034" s="130"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31"/>
      <c r="E1034" s="131"/>
      <c r="F1034" s="131"/>
      <c r="G1034" s="131"/>
      <c r="H1034" s="131"/>
      <c r="I1034" s="131"/>
      <c r="J1034" s="131"/>
      <c r="K1034" s="131"/>
      <c r="L1034" s="131"/>
      <c r="M1034" s="131"/>
      <c r="N1034" s="131"/>
      <c r="O1034" s="131"/>
      <c r="P1034" s="131"/>
      <c r="Q1034" s="131"/>
      <c r="R1034" s="131"/>
      <c r="S1034" s="131"/>
      <c r="T1034" s="131"/>
      <c r="U1034" s="132"/>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19" t="s">
        <v>3662</v>
      </c>
      <c r="D1036" s="120"/>
      <c r="E1036" s="125" t="s">
        <v>162</v>
      </c>
      <c r="H1036" s="36"/>
      <c r="I1036" s="36"/>
      <c r="J1036" s="36"/>
      <c r="K1036" s="36"/>
      <c r="L1036" s="36"/>
      <c r="M1036" s="36"/>
      <c r="N1036" s="36"/>
      <c r="O1036" s="36"/>
      <c r="P1036" s="36"/>
      <c r="Q1036" s="36"/>
      <c r="R1036" s="119" t="str">
        <f>"バックアップ_"&amp;SUBSTITUTE(C1036,"_結合","")</f>
        <v>バックアップ_MML_紹介状モジュール_処方箋薬剤</v>
      </c>
      <c r="S1036" s="120"/>
      <c r="T1036" s="123" t="str">
        <f>エンティティ一覧!$O$2</f>
        <v>milscm_2023_009</v>
      </c>
    </row>
    <row r="1037" spans="2:23" ht="18.75" customHeight="1">
      <c r="C1037" s="121"/>
      <c r="D1037" s="122"/>
      <c r="E1037" s="126"/>
      <c r="F1037" s="37"/>
      <c r="G1037" s="38"/>
      <c r="H1037" s="37"/>
      <c r="I1037" s="37"/>
      <c r="J1037" s="37"/>
      <c r="K1037" s="37"/>
      <c r="L1037" s="37"/>
      <c r="M1037" s="37"/>
      <c r="N1037" s="37"/>
      <c r="O1037" s="37"/>
      <c r="P1037" s="37"/>
      <c r="Q1037" s="37"/>
      <c r="R1037" s="121"/>
      <c r="S1037" s="122"/>
      <c r="T1037" s="124"/>
    </row>
    <row r="1038" spans="2:23" ht="18.75" customHeight="1">
      <c r="F1038" s="39"/>
      <c r="G1038" s="40"/>
    </row>
    <row r="1039" spans="2:23" ht="18.75" customHeight="1">
      <c r="C1039" s="119" t="s">
        <v>3183</v>
      </c>
      <c r="D1039" s="120"/>
      <c r="E1039" s="123" t="str">
        <f>エンティティ一覧!$O$2</f>
        <v>milscm_2023_009</v>
      </c>
      <c r="G1039" s="41"/>
    </row>
    <row r="1040" spans="2:23" ht="18.75" customHeight="1">
      <c r="C1040" s="121"/>
      <c r="D1040" s="122"/>
      <c r="E1040" s="124"/>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3663</v>
      </c>
      <c r="D1044" s="88"/>
      <c r="W1044" s="35" t="str">
        <f>"-- "&amp;B1044&amp;" : "&amp;C1044</f>
        <v>-- SQL_ID : 01_A6-62</v>
      </c>
    </row>
    <row r="1045" spans="2:23" ht="18.75" customHeight="1">
      <c r="B1045" s="43" t="s">
        <v>158</v>
      </c>
      <c r="C1045" s="127" t="str">
        <f>R1048&amp;"登録"</f>
        <v>バックアップ_MML_紹介状モジュール_臨床サマリー情報経過記録登録</v>
      </c>
      <c r="D1045" s="128"/>
      <c r="E1045" s="128"/>
      <c r="F1045" s="128"/>
      <c r="G1045" s="128"/>
      <c r="H1045" s="128"/>
      <c r="I1045" s="128"/>
      <c r="J1045" s="128"/>
      <c r="K1045" s="128"/>
      <c r="L1045" s="128"/>
      <c r="M1045" s="128"/>
      <c r="N1045" s="128"/>
      <c r="O1045" s="128"/>
      <c r="P1045" s="128"/>
      <c r="Q1045" s="128"/>
      <c r="R1045" s="128"/>
      <c r="S1045" s="128"/>
      <c r="T1045" s="128"/>
      <c r="U1045" s="129"/>
      <c r="W1045" s="35" t="str">
        <f>"-- "&amp;C1045</f>
        <v>-- バックアップ_MML_紹介状モジュール_臨床サマリー情報経過記録登録</v>
      </c>
    </row>
    <row r="1046" spans="2:23" ht="18.75" customHeight="1">
      <c r="B1046" s="43" t="s">
        <v>159</v>
      </c>
      <c r="C1046" s="130"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31"/>
      <c r="E1046" s="131"/>
      <c r="F1046" s="131"/>
      <c r="G1046" s="131"/>
      <c r="H1046" s="131"/>
      <c r="I1046" s="131"/>
      <c r="J1046" s="131"/>
      <c r="K1046" s="131"/>
      <c r="L1046" s="131"/>
      <c r="M1046" s="131"/>
      <c r="N1046" s="131"/>
      <c r="O1046" s="131"/>
      <c r="P1046" s="131"/>
      <c r="Q1046" s="131"/>
      <c r="R1046" s="131"/>
      <c r="S1046" s="131"/>
      <c r="T1046" s="131"/>
      <c r="U1046" s="132"/>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19" t="s">
        <v>3664</v>
      </c>
      <c r="D1048" s="120"/>
      <c r="E1048" s="125" t="s">
        <v>162</v>
      </c>
      <c r="H1048" s="36"/>
      <c r="I1048" s="36"/>
      <c r="J1048" s="36"/>
      <c r="K1048" s="36"/>
      <c r="L1048" s="36"/>
      <c r="M1048" s="36"/>
      <c r="N1048" s="36"/>
      <c r="O1048" s="36"/>
      <c r="P1048" s="36"/>
      <c r="Q1048" s="36"/>
      <c r="R1048" s="141" t="str">
        <f>"バックアップ_"&amp;SUBSTITUTE(C1048,"_結合","")</f>
        <v>バックアップ_MML_紹介状モジュール_臨床サマリー情報経過記録</v>
      </c>
      <c r="S1048" s="142"/>
      <c r="T1048" s="123" t="str">
        <f>エンティティ一覧!$O$2</f>
        <v>milscm_2023_009</v>
      </c>
    </row>
    <row r="1049" spans="2:23" ht="18.75" customHeight="1">
      <c r="C1049" s="121"/>
      <c r="D1049" s="122"/>
      <c r="E1049" s="126"/>
      <c r="F1049" s="37"/>
      <c r="G1049" s="38"/>
      <c r="H1049" s="37"/>
      <c r="I1049" s="37"/>
      <c r="J1049" s="37"/>
      <c r="K1049" s="37"/>
      <c r="L1049" s="37"/>
      <c r="M1049" s="37"/>
      <c r="N1049" s="37"/>
      <c r="O1049" s="37"/>
      <c r="P1049" s="37"/>
      <c r="Q1049" s="37"/>
      <c r="R1049" s="143"/>
      <c r="S1049" s="144"/>
      <c r="T1049" s="124"/>
    </row>
    <row r="1050" spans="2:23" ht="18.75" customHeight="1">
      <c r="F1050" s="39"/>
      <c r="G1050" s="40"/>
    </row>
    <row r="1051" spans="2:23" ht="18.75" customHeight="1">
      <c r="C1051" s="119" t="s">
        <v>3183</v>
      </c>
      <c r="D1051" s="120"/>
      <c r="E1051" s="123" t="str">
        <f>エンティティ一覧!$O$2</f>
        <v>milscm_2023_009</v>
      </c>
      <c r="G1051" s="41"/>
    </row>
    <row r="1052" spans="2:23" ht="18.75" customHeight="1">
      <c r="C1052" s="121"/>
      <c r="D1052" s="122"/>
      <c r="E1052" s="124"/>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3665</v>
      </c>
      <c r="D1056" s="88"/>
      <c r="W1056" s="35" t="str">
        <f>"-- "&amp;B1056&amp;" : "&amp;C1056</f>
        <v>-- SQL_ID : 01_A6-63</v>
      </c>
    </row>
    <row r="1057" spans="2:23" ht="18.75" customHeight="1">
      <c r="B1057" s="43" t="s">
        <v>158</v>
      </c>
      <c r="C1057" s="127" t="str">
        <f>R1060&amp;"登録"</f>
        <v>バックアップ_MML_紹介状モジュール_診療科情報登録</v>
      </c>
      <c r="D1057" s="128"/>
      <c r="E1057" s="128"/>
      <c r="F1057" s="128"/>
      <c r="G1057" s="128"/>
      <c r="H1057" s="128"/>
      <c r="I1057" s="128"/>
      <c r="J1057" s="128"/>
      <c r="K1057" s="128"/>
      <c r="L1057" s="128"/>
      <c r="M1057" s="128"/>
      <c r="N1057" s="128"/>
      <c r="O1057" s="128"/>
      <c r="P1057" s="128"/>
      <c r="Q1057" s="128"/>
      <c r="R1057" s="128"/>
      <c r="S1057" s="128"/>
      <c r="T1057" s="128"/>
      <c r="U1057" s="129"/>
      <c r="W1057" s="35" t="str">
        <f>"-- "&amp;C1057</f>
        <v>-- バックアップ_MML_紹介状モジュール_診療科情報登録</v>
      </c>
    </row>
    <row r="1058" spans="2:23" ht="18.75" customHeight="1">
      <c r="B1058" s="43" t="s">
        <v>159</v>
      </c>
      <c r="C1058" s="130"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31"/>
      <c r="E1058" s="131"/>
      <c r="F1058" s="131"/>
      <c r="G1058" s="131"/>
      <c r="H1058" s="131"/>
      <c r="I1058" s="131"/>
      <c r="J1058" s="131"/>
      <c r="K1058" s="131"/>
      <c r="L1058" s="131"/>
      <c r="M1058" s="131"/>
      <c r="N1058" s="131"/>
      <c r="O1058" s="131"/>
      <c r="P1058" s="131"/>
      <c r="Q1058" s="131"/>
      <c r="R1058" s="131"/>
      <c r="S1058" s="131"/>
      <c r="T1058" s="131"/>
      <c r="U1058" s="132"/>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19" t="s">
        <v>3666</v>
      </c>
      <c r="D1060" s="120"/>
      <c r="E1060" s="125" t="s">
        <v>162</v>
      </c>
      <c r="H1060" s="36"/>
      <c r="I1060" s="36"/>
      <c r="J1060" s="36"/>
      <c r="K1060" s="36"/>
      <c r="L1060" s="36"/>
      <c r="M1060" s="36"/>
      <c r="N1060" s="36"/>
      <c r="O1060" s="36"/>
      <c r="P1060" s="36"/>
      <c r="Q1060" s="36"/>
      <c r="R1060" s="119" t="str">
        <f>"バックアップ_"&amp;SUBSTITUTE(C1060,"_結合","")</f>
        <v>バックアップ_MML_紹介状モジュール_診療科情報</v>
      </c>
      <c r="S1060" s="120"/>
      <c r="T1060" s="123" t="str">
        <f>エンティティ一覧!$O$2</f>
        <v>milscm_2023_009</v>
      </c>
    </row>
    <row r="1061" spans="2:23" ht="18.75" customHeight="1">
      <c r="C1061" s="121"/>
      <c r="D1061" s="122"/>
      <c r="E1061" s="126"/>
      <c r="F1061" s="37"/>
      <c r="G1061" s="38"/>
      <c r="H1061" s="37"/>
      <c r="I1061" s="37"/>
      <c r="J1061" s="37"/>
      <c r="K1061" s="37"/>
      <c r="L1061" s="37"/>
      <c r="M1061" s="37"/>
      <c r="N1061" s="37"/>
      <c r="O1061" s="37"/>
      <c r="P1061" s="37"/>
      <c r="Q1061" s="37"/>
      <c r="R1061" s="121"/>
      <c r="S1061" s="122"/>
      <c r="T1061" s="124"/>
    </row>
    <row r="1062" spans="2:23" ht="18.75" customHeight="1">
      <c r="F1062" s="39"/>
      <c r="G1062" s="40"/>
    </row>
    <row r="1063" spans="2:23" ht="18.75" customHeight="1">
      <c r="C1063" s="119" t="s">
        <v>3183</v>
      </c>
      <c r="D1063" s="120"/>
      <c r="E1063" s="123" t="str">
        <f>エンティティ一覧!$O$2</f>
        <v>milscm_2023_009</v>
      </c>
      <c r="G1063" s="41"/>
    </row>
    <row r="1064" spans="2:23" ht="18.75" customHeight="1">
      <c r="C1064" s="121"/>
      <c r="D1064" s="122"/>
      <c r="E1064" s="124"/>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3174</v>
      </c>
      <c r="D1068" s="50"/>
      <c r="W1068" s="35" t="str">
        <f>"-- "&amp;B1068&amp;" : "&amp;C1068</f>
        <v>-- SQL_ID : 01_C1-01</v>
      </c>
    </row>
    <row r="1069" spans="2:23" ht="18.75" customHeight="1">
      <c r="B1069" s="43" t="s">
        <v>158</v>
      </c>
      <c r="C1069" s="127" t="str">
        <f>R1072&amp;"登録"</f>
        <v>バックアップ_DPC調査データ_Dファイル登録</v>
      </c>
      <c r="D1069" s="128"/>
      <c r="E1069" s="128"/>
      <c r="F1069" s="128"/>
      <c r="G1069" s="128"/>
      <c r="H1069" s="128"/>
      <c r="I1069" s="128"/>
      <c r="J1069" s="128"/>
      <c r="K1069" s="128"/>
      <c r="L1069" s="128"/>
      <c r="M1069" s="128"/>
      <c r="N1069" s="128"/>
      <c r="O1069" s="128"/>
      <c r="P1069" s="128"/>
      <c r="Q1069" s="128"/>
      <c r="R1069" s="128"/>
      <c r="S1069" s="128"/>
      <c r="T1069" s="128"/>
      <c r="U1069" s="129"/>
      <c r="W1069" s="35" t="str">
        <f>"-- "&amp;C1069</f>
        <v>-- バックアップ_DPC調査データ_Dファイル登録</v>
      </c>
    </row>
    <row r="1070" spans="2:23" ht="18.75" customHeight="1">
      <c r="B1070" s="43" t="s">
        <v>159</v>
      </c>
      <c r="C1070" s="130"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31"/>
      <c r="E1070" s="131"/>
      <c r="F1070" s="131"/>
      <c r="G1070" s="131"/>
      <c r="H1070" s="131"/>
      <c r="I1070" s="131"/>
      <c r="J1070" s="131"/>
      <c r="K1070" s="131"/>
      <c r="L1070" s="131"/>
      <c r="M1070" s="131"/>
      <c r="N1070" s="131"/>
      <c r="O1070" s="131"/>
      <c r="P1070" s="131"/>
      <c r="Q1070" s="131"/>
      <c r="R1070" s="131"/>
      <c r="S1070" s="131"/>
      <c r="T1070" s="131"/>
      <c r="U1070" s="132"/>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19" t="s">
        <v>166</v>
      </c>
      <c r="D1072" s="120"/>
      <c r="E1072" s="125" t="s">
        <v>162</v>
      </c>
      <c r="H1072" s="36"/>
      <c r="I1072" s="36"/>
      <c r="J1072" s="36"/>
      <c r="K1072" s="36"/>
      <c r="L1072" s="36"/>
      <c r="M1072" s="36"/>
      <c r="N1072" s="36"/>
      <c r="O1072" s="36"/>
      <c r="P1072" s="36"/>
      <c r="Q1072" s="36"/>
      <c r="R1072" s="119" t="str">
        <f>"バックアップ_"&amp;SUBSTITUTE(C1072,"_結合","")</f>
        <v>バックアップ_DPC調査データ_Dファイル</v>
      </c>
      <c r="S1072" s="120"/>
      <c r="T1072" s="123" t="str">
        <f>エンティティ一覧!$O$2</f>
        <v>milscm_2023_009</v>
      </c>
    </row>
    <row r="1073" spans="2:23" ht="18.75" customHeight="1">
      <c r="C1073" s="121"/>
      <c r="D1073" s="122"/>
      <c r="E1073" s="126"/>
      <c r="F1073" s="37"/>
      <c r="G1073" s="38"/>
      <c r="H1073" s="37"/>
      <c r="I1073" s="37"/>
      <c r="J1073" s="37"/>
      <c r="K1073" s="37"/>
      <c r="L1073" s="37"/>
      <c r="M1073" s="37"/>
      <c r="N1073" s="37"/>
      <c r="O1073" s="37"/>
      <c r="P1073" s="37"/>
      <c r="Q1073" s="37"/>
      <c r="R1073" s="121"/>
      <c r="S1073" s="122"/>
      <c r="T1073" s="124"/>
    </row>
    <row r="1074" spans="2:23" ht="18.75" customHeight="1">
      <c r="F1074" s="39"/>
      <c r="G1074" s="40"/>
    </row>
    <row r="1075" spans="2:23" ht="18.75" customHeight="1">
      <c r="C1075" s="119" t="s">
        <v>3183</v>
      </c>
      <c r="D1075" s="120"/>
      <c r="E1075" s="123" t="str">
        <f>エンティティ一覧!$O$2</f>
        <v>milscm_2023_009</v>
      </c>
      <c r="G1075" s="41"/>
    </row>
    <row r="1076" spans="2:23" ht="18.75" customHeight="1">
      <c r="C1076" s="121"/>
      <c r="D1076" s="122"/>
      <c r="E1076" s="124"/>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3175</v>
      </c>
      <c r="D1080" s="50"/>
      <c r="W1080" s="35" t="str">
        <f>"-- "&amp;B1080&amp;" : "&amp;C1080</f>
        <v>-- SQL_ID : 01_C1-02</v>
      </c>
    </row>
    <row r="1081" spans="2:23" ht="18.75" customHeight="1">
      <c r="B1081" s="43" t="s">
        <v>158</v>
      </c>
      <c r="C1081" s="127" t="str">
        <f>R1084&amp;"登録"</f>
        <v>バックアップ_DPC調査データ_入院EF統合ファイル登録</v>
      </c>
      <c r="D1081" s="128"/>
      <c r="E1081" s="128"/>
      <c r="F1081" s="128"/>
      <c r="G1081" s="128"/>
      <c r="H1081" s="128"/>
      <c r="I1081" s="128"/>
      <c r="J1081" s="128"/>
      <c r="K1081" s="128"/>
      <c r="L1081" s="128"/>
      <c r="M1081" s="128"/>
      <c r="N1081" s="128"/>
      <c r="O1081" s="128"/>
      <c r="P1081" s="128"/>
      <c r="Q1081" s="128"/>
      <c r="R1081" s="128"/>
      <c r="S1081" s="128"/>
      <c r="T1081" s="128"/>
      <c r="U1081" s="129"/>
      <c r="W1081" s="35" t="str">
        <f>"-- "&amp;C1081</f>
        <v>-- バックアップ_DPC調査データ_入院EF統合ファイル登録</v>
      </c>
    </row>
    <row r="1082" spans="2:23" ht="18.75" customHeight="1">
      <c r="B1082" s="43" t="s">
        <v>159</v>
      </c>
      <c r="C1082" s="130"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31"/>
      <c r="E1082" s="131"/>
      <c r="F1082" s="131"/>
      <c r="G1082" s="131"/>
      <c r="H1082" s="131"/>
      <c r="I1082" s="131"/>
      <c r="J1082" s="131"/>
      <c r="K1082" s="131"/>
      <c r="L1082" s="131"/>
      <c r="M1082" s="131"/>
      <c r="N1082" s="131"/>
      <c r="O1082" s="131"/>
      <c r="P1082" s="131"/>
      <c r="Q1082" s="131"/>
      <c r="R1082" s="131"/>
      <c r="S1082" s="131"/>
      <c r="T1082" s="131"/>
      <c r="U1082" s="132"/>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19" t="s">
        <v>168</v>
      </c>
      <c r="D1084" s="120"/>
      <c r="E1084" s="125" t="s">
        <v>162</v>
      </c>
      <c r="H1084" s="36"/>
      <c r="I1084" s="36"/>
      <c r="J1084" s="36"/>
      <c r="K1084" s="36"/>
      <c r="L1084" s="36"/>
      <c r="M1084" s="36"/>
      <c r="N1084" s="36"/>
      <c r="O1084" s="36"/>
      <c r="P1084" s="36"/>
      <c r="Q1084" s="36"/>
      <c r="R1084" s="119" t="str">
        <f>"バックアップ_"&amp;SUBSTITUTE(C1084,"_結合","")</f>
        <v>バックアップ_DPC調査データ_入院EF統合ファイル</v>
      </c>
      <c r="S1084" s="120"/>
      <c r="T1084" s="123" t="str">
        <f>エンティティ一覧!$O$2</f>
        <v>milscm_2023_009</v>
      </c>
    </row>
    <row r="1085" spans="2:23" ht="18.75" customHeight="1">
      <c r="C1085" s="121"/>
      <c r="D1085" s="122"/>
      <c r="E1085" s="126"/>
      <c r="F1085" s="37"/>
      <c r="G1085" s="38"/>
      <c r="H1085" s="37"/>
      <c r="I1085" s="37"/>
      <c r="J1085" s="37"/>
      <c r="K1085" s="37"/>
      <c r="L1085" s="37"/>
      <c r="M1085" s="37"/>
      <c r="N1085" s="37"/>
      <c r="O1085" s="37"/>
      <c r="P1085" s="37"/>
      <c r="Q1085" s="37"/>
      <c r="R1085" s="121"/>
      <c r="S1085" s="122"/>
      <c r="T1085" s="124"/>
    </row>
    <row r="1086" spans="2:23" ht="18.75" customHeight="1">
      <c r="F1086" s="39"/>
      <c r="G1086" s="40"/>
    </row>
    <row r="1087" spans="2:23" ht="18.75" customHeight="1">
      <c r="C1087" s="119" t="s">
        <v>3183</v>
      </c>
      <c r="D1087" s="120"/>
      <c r="E1087" s="123" t="str">
        <f>エンティティ一覧!$O$2</f>
        <v>milscm_2023_009</v>
      </c>
      <c r="G1087" s="41"/>
    </row>
    <row r="1088" spans="2:23" ht="18.75" customHeight="1">
      <c r="C1088" s="121"/>
      <c r="D1088" s="122"/>
      <c r="E1088" s="124"/>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3176</v>
      </c>
      <c r="D1092" s="50"/>
      <c r="W1092" s="35" t="str">
        <f>"-- "&amp;B1092&amp;" : "&amp;C1092</f>
        <v>-- SQL_ID : 01_C1-03</v>
      </c>
    </row>
    <row r="1093" spans="2:23" ht="18.75" customHeight="1">
      <c r="B1093" s="43" t="s">
        <v>158</v>
      </c>
      <c r="C1093" s="127" t="str">
        <f>R1096&amp;"登録"</f>
        <v>バックアップ_DPC調査データ_外来EF統合ファイル登録</v>
      </c>
      <c r="D1093" s="128"/>
      <c r="E1093" s="128"/>
      <c r="F1093" s="128"/>
      <c r="G1093" s="128"/>
      <c r="H1093" s="128"/>
      <c r="I1093" s="128"/>
      <c r="J1093" s="128"/>
      <c r="K1093" s="128"/>
      <c r="L1093" s="128"/>
      <c r="M1093" s="128"/>
      <c r="N1093" s="128"/>
      <c r="O1093" s="128"/>
      <c r="P1093" s="128"/>
      <c r="Q1093" s="128"/>
      <c r="R1093" s="128"/>
      <c r="S1093" s="128"/>
      <c r="T1093" s="128"/>
      <c r="U1093" s="129"/>
      <c r="W1093" s="35" t="str">
        <f>"-- "&amp;C1093</f>
        <v>-- バックアップ_DPC調査データ_外来EF統合ファイル登録</v>
      </c>
    </row>
    <row r="1094" spans="2:23" ht="18.75" customHeight="1">
      <c r="B1094" s="43" t="s">
        <v>159</v>
      </c>
      <c r="C1094" s="130"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31"/>
      <c r="E1094" s="131"/>
      <c r="F1094" s="131"/>
      <c r="G1094" s="131"/>
      <c r="H1094" s="131"/>
      <c r="I1094" s="131"/>
      <c r="J1094" s="131"/>
      <c r="K1094" s="131"/>
      <c r="L1094" s="131"/>
      <c r="M1094" s="131"/>
      <c r="N1094" s="131"/>
      <c r="O1094" s="131"/>
      <c r="P1094" s="131"/>
      <c r="Q1094" s="131"/>
      <c r="R1094" s="131"/>
      <c r="S1094" s="131"/>
      <c r="T1094" s="131"/>
      <c r="U1094" s="132"/>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19" t="s">
        <v>169</v>
      </c>
      <c r="D1096" s="120"/>
      <c r="E1096" s="125" t="s">
        <v>162</v>
      </c>
      <c r="H1096" s="36"/>
      <c r="I1096" s="36"/>
      <c r="J1096" s="36"/>
      <c r="K1096" s="36"/>
      <c r="L1096" s="36"/>
      <c r="M1096" s="36"/>
      <c r="N1096" s="36"/>
      <c r="O1096" s="36"/>
      <c r="P1096" s="36"/>
      <c r="Q1096" s="36"/>
      <c r="R1096" s="119" t="str">
        <f>"バックアップ_"&amp;SUBSTITUTE(C1096,"_結合","")</f>
        <v>バックアップ_DPC調査データ_外来EF統合ファイル</v>
      </c>
      <c r="S1096" s="120"/>
      <c r="T1096" s="123" t="str">
        <f>エンティティ一覧!$O$2</f>
        <v>milscm_2023_009</v>
      </c>
    </row>
    <row r="1097" spans="2:23" ht="18.75" customHeight="1">
      <c r="C1097" s="121"/>
      <c r="D1097" s="122"/>
      <c r="E1097" s="126"/>
      <c r="F1097" s="37"/>
      <c r="G1097" s="38"/>
      <c r="H1097" s="37"/>
      <c r="I1097" s="37"/>
      <c r="J1097" s="37"/>
      <c r="K1097" s="37"/>
      <c r="L1097" s="37"/>
      <c r="M1097" s="37"/>
      <c r="N1097" s="37"/>
      <c r="O1097" s="37"/>
      <c r="P1097" s="37"/>
      <c r="Q1097" s="37"/>
      <c r="R1097" s="121"/>
      <c r="S1097" s="122"/>
      <c r="T1097" s="124"/>
    </row>
    <row r="1098" spans="2:23" ht="18.75" customHeight="1">
      <c r="F1098" s="39"/>
      <c r="G1098" s="40"/>
    </row>
    <row r="1099" spans="2:23" ht="18.75" customHeight="1">
      <c r="C1099" s="119" t="s">
        <v>3183</v>
      </c>
      <c r="D1099" s="120"/>
      <c r="E1099" s="123" t="str">
        <f>エンティティ一覧!$O$2</f>
        <v>milscm_2023_009</v>
      </c>
      <c r="G1099" s="41"/>
    </row>
    <row r="1100" spans="2:23" ht="18.75" customHeight="1">
      <c r="C1100" s="121"/>
      <c r="D1100" s="122"/>
      <c r="E1100" s="124"/>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3177</v>
      </c>
      <c r="D1104" s="50"/>
      <c r="W1104" s="35" t="str">
        <f>"-- "&amp;B1104&amp;" : "&amp;C1104</f>
        <v>-- SQL_ID : 01_C1-04</v>
      </c>
    </row>
    <row r="1105" spans="2:23" ht="18.75" customHeight="1">
      <c r="B1105" s="43" t="s">
        <v>158</v>
      </c>
      <c r="C1105" s="127" t="str">
        <f>R1108&amp;"登録"</f>
        <v>バックアップ_DPC調査データ_Hファイル登録</v>
      </c>
      <c r="D1105" s="128"/>
      <c r="E1105" s="128"/>
      <c r="F1105" s="128"/>
      <c r="G1105" s="128"/>
      <c r="H1105" s="128"/>
      <c r="I1105" s="128"/>
      <c r="J1105" s="128"/>
      <c r="K1105" s="128"/>
      <c r="L1105" s="128"/>
      <c r="M1105" s="128"/>
      <c r="N1105" s="128"/>
      <c r="O1105" s="128"/>
      <c r="P1105" s="128"/>
      <c r="Q1105" s="128"/>
      <c r="R1105" s="128"/>
      <c r="S1105" s="128"/>
      <c r="T1105" s="128"/>
      <c r="U1105" s="129"/>
      <c r="W1105" s="35" t="str">
        <f>"-- "&amp;C1105</f>
        <v>-- バックアップ_DPC調査データ_Hファイル登録</v>
      </c>
    </row>
    <row r="1106" spans="2:23" ht="18.75" customHeight="1">
      <c r="B1106" s="43" t="s">
        <v>159</v>
      </c>
      <c r="C1106" s="130"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31"/>
      <c r="E1106" s="131"/>
      <c r="F1106" s="131"/>
      <c r="G1106" s="131"/>
      <c r="H1106" s="131"/>
      <c r="I1106" s="131"/>
      <c r="J1106" s="131"/>
      <c r="K1106" s="131"/>
      <c r="L1106" s="131"/>
      <c r="M1106" s="131"/>
      <c r="N1106" s="131"/>
      <c r="O1106" s="131"/>
      <c r="P1106" s="131"/>
      <c r="Q1106" s="131"/>
      <c r="R1106" s="131"/>
      <c r="S1106" s="131"/>
      <c r="T1106" s="131"/>
      <c r="U1106" s="132"/>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19" t="s">
        <v>170</v>
      </c>
      <c r="D1108" s="120"/>
      <c r="E1108" s="125" t="s">
        <v>162</v>
      </c>
      <c r="H1108" s="36"/>
      <c r="I1108" s="36"/>
      <c r="J1108" s="36"/>
      <c r="K1108" s="36"/>
      <c r="L1108" s="36"/>
      <c r="M1108" s="36"/>
      <c r="N1108" s="36"/>
      <c r="O1108" s="36"/>
      <c r="P1108" s="36"/>
      <c r="Q1108" s="36"/>
      <c r="R1108" s="119" t="str">
        <f>"バックアップ_"&amp;SUBSTITUTE(C1108,"_結合","")</f>
        <v>バックアップ_DPC調査データ_Hファイル</v>
      </c>
      <c r="S1108" s="120"/>
      <c r="T1108" s="123" t="str">
        <f>エンティティ一覧!$O$2</f>
        <v>milscm_2023_009</v>
      </c>
    </row>
    <row r="1109" spans="2:23" ht="18.75" customHeight="1">
      <c r="C1109" s="121"/>
      <c r="D1109" s="122"/>
      <c r="E1109" s="126"/>
      <c r="F1109" s="37"/>
      <c r="G1109" s="38"/>
      <c r="H1109" s="37"/>
      <c r="I1109" s="37"/>
      <c r="J1109" s="37"/>
      <c r="K1109" s="37"/>
      <c r="L1109" s="37"/>
      <c r="M1109" s="37"/>
      <c r="N1109" s="37"/>
      <c r="O1109" s="37"/>
      <c r="P1109" s="37"/>
      <c r="Q1109" s="37"/>
      <c r="R1109" s="121"/>
      <c r="S1109" s="122"/>
      <c r="T1109" s="124"/>
    </row>
    <row r="1110" spans="2:23" ht="18.75" customHeight="1">
      <c r="F1110" s="39"/>
      <c r="G1110" s="40"/>
    </row>
    <row r="1111" spans="2:23" ht="18.75" customHeight="1">
      <c r="C1111" s="119" t="s">
        <v>3183</v>
      </c>
      <c r="D1111" s="120"/>
      <c r="E1111" s="123" t="str">
        <f>エンティティ一覧!$O$2</f>
        <v>milscm_2023_009</v>
      </c>
      <c r="G1111" s="41"/>
    </row>
    <row r="1112" spans="2:23" ht="18.75" customHeight="1">
      <c r="C1112" s="121"/>
      <c r="D1112" s="122"/>
      <c r="E1112" s="124"/>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3178</v>
      </c>
      <c r="D1116" s="50"/>
      <c r="W1116" s="35" t="str">
        <f>"-- "&amp;B1116&amp;" : "&amp;C1116</f>
        <v>-- SQL_ID : 01_C1-05</v>
      </c>
    </row>
    <row r="1117" spans="2:23" ht="18.75" customHeight="1">
      <c r="B1117" s="43" t="s">
        <v>158</v>
      </c>
      <c r="C1117" s="127" t="str">
        <f>R1120&amp;"登録"</f>
        <v>バックアップ_DPC調査データ_様式1登録</v>
      </c>
      <c r="D1117" s="128"/>
      <c r="E1117" s="128"/>
      <c r="F1117" s="128"/>
      <c r="G1117" s="128"/>
      <c r="H1117" s="128"/>
      <c r="I1117" s="128"/>
      <c r="J1117" s="128"/>
      <c r="K1117" s="128"/>
      <c r="L1117" s="128"/>
      <c r="M1117" s="128"/>
      <c r="N1117" s="128"/>
      <c r="O1117" s="128"/>
      <c r="P1117" s="128"/>
      <c r="Q1117" s="128"/>
      <c r="R1117" s="128"/>
      <c r="S1117" s="128"/>
      <c r="T1117" s="128"/>
      <c r="U1117" s="129"/>
      <c r="W1117" s="35" t="str">
        <f>"-- "&amp;C1117</f>
        <v>-- バックアップ_DPC調査データ_様式1登録</v>
      </c>
    </row>
    <row r="1118" spans="2:23" ht="18.75" customHeight="1">
      <c r="B1118" s="43" t="s">
        <v>159</v>
      </c>
      <c r="C1118" s="130"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31"/>
      <c r="E1118" s="131"/>
      <c r="F1118" s="131"/>
      <c r="G1118" s="131"/>
      <c r="H1118" s="131"/>
      <c r="I1118" s="131"/>
      <c r="J1118" s="131"/>
      <c r="K1118" s="131"/>
      <c r="L1118" s="131"/>
      <c r="M1118" s="131"/>
      <c r="N1118" s="131"/>
      <c r="O1118" s="131"/>
      <c r="P1118" s="131"/>
      <c r="Q1118" s="131"/>
      <c r="R1118" s="131"/>
      <c r="S1118" s="131"/>
      <c r="T1118" s="131"/>
      <c r="U1118" s="132"/>
      <c r="W1118" s="35" t="str">
        <f>"-- "&amp;C1118</f>
        <v>-- DPC調査データ_様式1_結合テーブルから組入れ条件の第一条件で絞り込んだ結果をバックアップ_DPC調査データ_様式1テーブルに格納する。</v>
      </c>
    </row>
    <row r="1120" spans="2:23" ht="18.75" customHeight="1">
      <c r="C1120" s="119" t="s">
        <v>171</v>
      </c>
      <c r="D1120" s="120"/>
      <c r="E1120" s="125" t="s">
        <v>162</v>
      </c>
      <c r="H1120" s="36"/>
      <c r="I1120" s="36"/>
      <c r="J1120" s="36"/>
      <c r="K1120" s="36"/>
      <c r="L1120" s="36"/>
      <c r="M1120" s="36"/>
      <c r="N1120" s="36"/>
      <c r="O1120" s="36"/>
      <c r="P1120" s="36"/>
      <c r="Q1120" s="36"/>
      <c r="R1120" s="119" t="str">
        <f>"バックアップ_"&amp;SUBSTITUTE(C1120,"_結合","")</f>
        <v>バックアップ_DPC調査データ_様式1</v>
      </c>
      <c r="S1120" s="120"/>
      <c r="T1120" s="123" t="str">
        <f>エンティティ一覧!$O$2</f>
        <v>milscm_2023_009</v>
      </c>
    </row>
    <row r="1121" spans="2:23" ht="18.75" customHeight="1">
      <c r="C1121" s="121"/>
      <c r="D1121" s="122"/>
      <c r="E1121" s="126"/>
      <c r="F1121" s="37"/>
      <c r="G1121" s="38"/>
      <c r="H1121" s="37"/>
      <c r="I1121" s="37"/>
      <c r="J1121" s="37"/>
      <c r="K1121" s="37"/>
      <c r="L1121" s="37"/>
      <c r="M1121" s="37"/>
      <c r="N1121" s="37"/>
      <c r="O1121" s="37"/>
      <c r="P1121" s="37"/>
      <c r="Q1121" s="37"/>
      <c r="R1121" s="121"/>
      <c r="S1121" s="122"/>
      <c r="T1121" s="124"/>
    </row>
    <row r="1122" spans="2:23" ht="18.75" customHeight="1">
      <c r="F1122" s="39"/>
      <c r="G1122" s="40"/>
    </row>
    <row r="1123" spans="2:23" ht="18.75" customHeight="1">
      <c r="C1123" s="119" t="s">
        <v>3183</v>
      </c>
      <c r="D1123" s="120"/>
      <c r="E1123" s="123" t="str">
        <f>エンティティ一覧!$O$2</f>
        <v>milscm_2023_009</v>
      </c>
      <c r="G1123" s="41"/>
    </row>
    <row r="1124" spans="2:23" ht="18.75" customHeight="1">
      <c r="C1124" s="121"/>
      <c r="D1124" s="122"/>
      <c r="E1124" s="124"/>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3179</v>
      </c>
      <c r="D1128" s="50"/>
      <c r="W1128" s="35" t="str">
        <f>"-- "&amp;B1128&amp;" : "&amp;C1128</f>
        <v>-- SQL_ID : 01_C1-07</v>
      </c>
    </row>
    <row r="1129" spans="2:23" ht="18.75" customHeight="1">
      <c r="B1129" s="43" t="s">
        <v>158</v>
      </c>
      <c r="C1129" s="127" t="str">
        <f>R1132&amp;"登録"</f>
        <v>バックアップ_DPC調査データ_様式1_診断情報_併存症登録</v>
      </c>
      <c r="D1129" s="128"/>
      <c r="E1129" s="128"/>
      <c r="F1129" s="128"/>
      <c r="G1129" s="128"/>
      <c r="H1129" s="128"/>
      <c r="I1129" s="128"/>
      <c r="J1129" s="128"/>
      <c r="K1129" s="128"/>
      <c r="L1129" s="128"/>
      <c r="M1129" s="128"/>
      <c r="N1129" s="128"/>
      <c r="O1129" s="128"/>
      <c r="P1129" s="128"/>
      <c r="Q1129" s="128"/>
      <c r="R1129" s="128"/>
      <c r="S1129" s="128"/>
      <c r="T1129" s="128"/>
      <c r="U1129" s="129"/>
      <c r="W1129" s="35" t="str">
        <f>"-- "&amp;C1129</f>
        <v>-- バックアップ_DPC調査データ_様式1_診断情報_併存症登録</v>
      </c>
    </row>
    <row r="1130" spans="2:23" ht="18.75" customHeight="1">
      <c r="B1130" s="43" t="s">
        <v>159</v>
      </c>
      <c r="C1130" s="130"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31"/>
      <c r="E1130" s="131"/>
      <c r="F1130" s="131"/>
      <c r="G1130" s="131"/>
      <c r="H1130" s="131"/>
      <c r="I1130" s="131"/>
      <c r="J1130" s="131"/>
      <c r="K1130" s="131"/>
      <c r="L1130" s="131"/>
      <c r="M1130" s="131"/>
      <c r="N1130" s="131"/>
      <c r="O1130" s="131"/>
      <c r="P1130" s="131"/>
      <c r="Q1130" s="131"/>
      <c r="R1130" s="131"/>
      <c r="S1130" s="131"/>
      <c r="T1130" s="131"/>
      <c r="U1130" s="132"/>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19" t="s">
        <v>172</v>
      </c>
      <c r="D1132" s="120"/>
      <c r="E1132" s="125" t="s">
        <v>162</v>
      </c>
      <c r="H1132" s="36"/>
      <c r="I1132" s="36"/>
      <c r="J1132" s="36"/>
      <c r="K1132" s="36"/>
      <c r="L1132" s="36"/>
      <c r="M1132" s="36"/>
      <c r="N1132" s="36"/>
      <c r="O1132" s="36"/>
      <c r="P1132" s="36"/>
      <c r="Q1132" s="36"/>
      <c r="R1132" s="119" t="str">
        <f>"バックアップ_"&amp;SUBSTITUTE(C1132,"_結合","")</f>
        <v>バックアップ_DPC調査データ_様式1_診断情報_併存症</v>
      </c>
      <c r="S1132" s="120"/>
      <c r="T1132" s="123" t="str">
        <f>エンティティ一覧!$O$2</f>
        <v>milscm_2023_009</v>
      </c>
    </row>
    <row r="1133" spans="2:23" ht="18.75" customHeight="1">
      <c r="C1133" s="121"/>
      <c r="D1133" s="122"/>
      <c r="E1133" s="126"/>
      <c r="F1133" s="37"/>
      <c r="G1133" s="38"/>
      <c r="H1133" s="37"/>
      <c r="I1133" s="37"/>
      <c r="J1133" s="37"/>
      <c r="K1133" s="37"/>
      <c r="L1133" s="37"/>
      <c r="M1133" s="37"/>
      <c r="N1133" s="37"/>
      <c r="O1133" s="37"/>
      <c r="P1133" s="37"/>
      <c r="Q1133" s="37"/>
      <c r="R1133" s="121"/>
      <c r="S1133" s="122"/>
      <c r="T1133" s="124"/>
    </row>
    <row r="1134" spans="2:23" ht="18.75" customHeight="1">
      <c r="F1134" s="39"/>
      <c r="G1134" s="40"/>
    </row>
    <row r="1135" spans="2:23" ht="18.75" customHeight="1">
      <c r="C1135" s="119" t="s">
        <v>3183</v>
      </c>
      <c r="D1135" s="120"/>
      <c r="E1135" s="123" t="str">
        <f>エンティティ一覧!$O$2</f>
        <v>milscm_2023_009</v>
      </c>
      <c r="G1135" s="41"/>
    </row>
    <row r="1136" spans="2:23" ht="18.75" customHeight="1">
      <c r="C1136" s="121"/>
      <c r="D1136" s="122"/>
      <c r="E1136" s="124"/>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3180</v>
      </c>
      <c r="D1140" s="50"/>
      <c r="W1140" s="35" t="str">
        <f>"-- "&amp;B1140&amp;" : "&amp;C1140</f>
        <v>-- SQL_ID : 01_C1-08</v>
      </c>
    </row>
    <row r="1141" spans="2:23" ht="18.75" customHeight="1">
      <c r="B1141" s="43" t="s">
        <v>158</v>
      </c>
      <c r="C1141" s="127" t="str">
        <f>R1144&amp;"登録"</f>
        <v>バックアップ_DPC調査データ_様式1_診断情報_続発症登録</v>
      </c>
      <c r="D1141" s="128"/>
      <c r="E1141" s="128"/>
      <c r="F1141" s="128"/>
      <c r="G1141" s="128"/>
      <c r="H1141" s="128"/>
      <c r="I1141" s="128"/>
      <c r="J1141" s="128"/>
      <c r="K1141" s="128"/>
      <c r="L1141" s="128"/>
      <c r="M1141" s="128"/>
      <c r="N1141" s="128"/>
      <c r="O1141" s="128"/>
      <c r="P1141" s="128"/>
      <c r="Q1141" s="128"/>
      <c r="R1141" s="128"/>
      <c r="S1141" s="128"/>
      <c r="T1141" s="128"/>
      <c r="U1141" s="129"/>
      <c r="W1141" s="35" t="str">
        <f>"-- "&amp;C1141</f>
        <v>-- バックアップ_DPC調査データ_様式1_診断情報_続発症登録</v>
      </c>
    </row>
    <row r="1142" spans="2:23" ht="18.75" customHeight="1">
      <c r="B1142" s="43" t="s">
        <v>159</v>
      </c>
      <c r="C1142" s="130"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31"/>
      <c r="E1142" s="131"/>
      <c r="F1142" s="131"/>
      <c r="G1142" s="131"/>
      <c r="H1142" s="131"/>
      <c r="I1142" s="131"/>
      <c r="J1142" s="131"/>
      <c r="K1142" s="131"/>
      <c r="L1142" s="131"/>
      <c r="M1142" s="131"/>
      <c r="N1142" s="131"/>
      <c r="O1142" s="131"/>
      <c r="P1142" s="131"/>
      <c r="Q1142" s="131"/>
      <c r="R1142" s="131"/>
      <c r="S1142" s="131"/>
      <c r="T1142" s="131"/>
      <c r="U1142" s="132"/>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19" t="s">
        <v>173</v>
      </c>
      <c r="D1144" s="120"/>
      <c r="E1144" s="125" t="s">
        <v>162</v>
      </c>
      <c r="H1144" s="36"/>
      <c r="I1144" s="36"/>
      <c r="J1144" s="36"/>
      <c r="K1144" s="36"/>
      <c r="L1144" s="36"/>
      <c r="M1144" s="36"/>
      <c r="N1144" s="36"/>
      <c r="O1144" s="36"/>
      <c r="P1144" s="36"/>
      <c r="Q1144" s="36"/>
      <c r="R1144" s="119" t="str">
        <f>"バックアップ_"&amp;SUBSTITUTE(C1144,"_結合","")</f>
        <v>バックアップ_DPC調査データ_様式1_診断情報_続発症</v>
      </c>
      <c r="S1144" s="120"/>
      <c r="T1144" s="123" t="str">
        <f>エンティティ一覧!$O$2</f>
        <v>milscm_2023_009</v>
      </c>
    </row>
    <row r="1145" spans="2:23" ht="18.75" customHeight="1">
      <c r="C1145" s="121"/>
      <c r="D1145" s="122"/>
      <c r="E1145" s="126"/>
      <c r="F1145" s="37"/>
      <c r="G1145" s="38"/>
      <c r="H1145" s="37"/>
      <c r="I1145" s="37"/>
      <c r="J1145" s="37"/>
      <c r="K1145" s="37"/>
      <c r="L1145" s="37"/>
      <c r="M1145" s="37"/>
      <c r="N1145" s="37"/>
      <c r="O1145" s="37"/>
      <c r="P1145" s="37"/>
      <c r="Q1145" s="37"/>
      <c r="R1145" s="121"/>
      <c r="S1145" s="122"/>
      <c r="T1145" s="124"/>
    </row>
    <row r="1146" spans="2:23" ht="18.75" customHeight="1">
      <c r="F1146" s="39"/>
      <c r="G1146" s="40"/>
    </row>
    <row r="1147" spans="2:23" ht="18.75" customHeight="1">
      <c r="C1147" s="119" t="s">
        <v>3183</v>
      </c>
      <c r="D1147" s="120"/>
      <c r="E1147" s="123" t="str">
        <f>エンティティ一覧!$O$2</f>
        <v>milscm_2023_009</v>
      </c>
      <c r="G1147" s="41"/>
    </row>
    <row r="1148" spans="2:23" ht="18.75" customHeight="1">
      <c r="C1148" s="121"/>
      <c r="D1148" s="122"/>
      <c r="E1148" s="124"/>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3403</v>
      </c>
      <c r="D1152" s="88"/>
      <c r="W1152" s="35" t="str">
        <f>"-- "&amp;B1152&amp;" : "&amp;C1152</f>
        <v>-- SQL_ID : 01_C2-01</v>
      </c>
    </row>
    <row r="1153" spans="2:23" ht="18.75" customHeight="1">
      <c r="B1153" s="43" t="s">
        <v>158</v>
      </c>
      <c r="C1153" s="127" t="str">
        <f>R1156&amp;"登録"</f>
        <v>バックアップ_医科レセプト_医療機関情報レコード登録</v>
      </c>
      <c r="D1153" s="128"/>
      <c r="E1153" s="128"/>
      <c r="F1153" s="128"/>
      <c r="G1153" s="128"/>
      <c r="H1153" s="128"/>
      <c r="I1153" s="128"/>
      <c r="J1153" s="128"/>
      <c r="K1153" s="128"/>
      <c r="L1153" s="128"/>
      <c r="M1153" s="128"/>
      <c r="N1153" s="128"/>
      <c r="O1153" s="128"/>
      <c r="P1153" s="128"/>
      <c r="Q1153" s="128"/>
      <c r="R1153" s="128"/>
      <c r="S1153" s="128"/>
      <c r="T1153" s="128"/>
      <c r="U1153" s="129"/>
      <c r="W1153" s="35" t="str">
        <f>"-- "&amp;C1153</f>
        <v>-- バックアップ_医科レセプト_医療機関情報レコード登録</v>
      </c>
    </row>
    <row r="1154" spans="2:23" ht="18.75" customHeight="1">
      <c r="B1154" s="43" t="s">
        <v>159</v>
      </c>
      <c r="C1154" s="130"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31"/>
      <c r="E1154" s="131"/>
      <c r="F1154" s="131"/>
      <c r="G1154" s="131"/>
      <c r="H1154" s="131"/>
      <c r="I1154" s="131"/>
      <c r="J1154" s="131"/>
      <c r="K1154" s="131"/>
      <c r="L1154" s="131"/>
      <c r="M1154" s="131"/>
      <c r="N1154" s="131"/>
      <c r="O1154" s="131"/>
      <c r="P1154" s="131"/>
      <c r="Q1154" s="131"/>
      <c r="R1154" s="131"/>
      <c r="S1154" s="131"/>
      <c r="T1154" s="131"/>
      <c r="U1154" s="132"/>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19" t="s">
        <v>3404</v>
      </c>
      <c r="D1156" s="120"/>
      <c r="E1156" s="125" t="s">
        <v>162</v>
      </c>
      <c r="H1156" s="36"/>
      <c r="I1156" s="36"/>
      <c r="J1156" s="36"/>
      <c r="K1156" s="36"/>
      <c r="L1156" s="36"/>
      <c r="M1156" s="36"/>
      <c r="N1156" s="36"/>
      <c r="O1156" s="36"/>
      <c r="P1156" s="36"/>
      <c r="Q1156" s="36"/>
      <c r="R1156" s="119" t="str">
        <f>"バックアップ_"&amp;SUBSTITUTE(C1156,"_結合","")</f>
        <v>バックアップ_医科レセプト_医療機関情報レコード</v>
      </c>
      <c r="S1156" s="120"/>
      <c r="T1156" s="123" t="str">
        <f>エンティティ一覧!$O$2</f>
        <v>milscm_2023_009</v>
      </c>
    </row>
    <row r="1157" spans="2:23" ht="18.75" customHeight="1">
      <c r="C1157" s="121"/>
      <c r="D1157" s="122"/>
      <c r="E1157" s="126"/>
      <c r="F1157" s="37"/>
      <c r="G1157" s="38"/>
      <c r="H1157" s="37"/>
      <c r="I1157" s="37"/>
      <c r="J1157" s="37"/>
      <c r="K1157" s="37"/>
      <c r="L1157" s="37"/>
      <c r="M1157" s="37"/>
      <c r="N1157" s="37"/>
      <c r="O1157" s="37"/>
      <c r="P1157" s="37"/>
      <c r="Q1157" s="37"/>
      <c r="R1157" s="121"/>
      <c r="S1157" s="122"/>
      <c r="T1157" s="124"/>
    </row>
    <row r="1158" spans="2:23" ht="18.75" customHeight="1">
      <c r="F1158" s="39"/>
      <c r="G1158" s="40"/>
    </row>
    <row r="1159" spans="2:23" ht="18.75" customHeight="1">
      <c r="C1159" s="119" t="s">
        <v>3183</v>
      </c>
      <c r="D1159" s="120"/>
      <c r="E1159" s="123" t="str">
        <f>エンティティ一覧!$O$2</f>
        <v>milscm_2023_009</v>
      </c>
      <c r="G1159" s="41"/>
    </row>
    <row r="1160" spans="2:23" ht="18.75" customHeight="1">
      <c r="C1160" s="121"/>
      <c r="D1160" s="122"/>
      <c r="E1160" s="124"/>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3405</v>
      </c>
      <c r="D1164" s="88"/>
      <c r="W1164" s="35" t="str">
        <f>"-- "&amp;B1164&amp;" : "&amp;C1164</f>
        <v>-- SQL_ID : 01_C2-02</v>
      </c>
    </row>
    <row r="1165" spans="2:23" ht="18.75" customHeight="1">
      <c r="B1165" s="43" t="s">
        <v>158</v>
      </c>
      <c r="C1165" s="127" t="str">
        <f>R1168&amp;"登録"</f>
        <v>バックアップ_医科レセプト_レセプト共通レコード登録</v>
      </c>
      <c r="D1165" s="128"/>
      <c r="E1165" s="128"/>
      <c r="F1165" s="128"/>
      <c r="G1165" s="128"/>
      <c r="H1165" s="128"/>
      <c r="I1165" s="128"/>
      <c r="J1165" s="128"/>
      <c r="K1165" s="128"/>
      <c r="L1165" s="128"/>
      <c r="M1165" s="128"/>
      <c r="N1165" s="128"/>
      <c r="O1165" s="128"/>
      <c r="P1165" s="128"/>
      <c r="Q1165" s="128"/>
      <c r="R1165" s="128"/>
      <c r="S1165" s="128"/>
      <c r="T1165" s="128"/>
      <c r="U1165" s="129"/>
      <c r="W1165" s="35" t="str">
        <f>"-- "&amp;C1165</f>
        <v>-- バックアップ_医科レセプト_レセプト共通レコード登録</v>
      </c>
    </row>
    <row r="1166" spans="2:23" ht="18.75" customHeight="1">
      <c r="B1166" s="43" t="s">
        <v>159</v>
      </c>
      <c r="C1166" s="130"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31"/>
      <c r="E1166" s="131"/>
      <c r="F1166" s="131"/>
      <c r="G1166" s="131"/>
      <c r="H1166" s="131"/>
      <c r="I1166" s="131"/>
      <c r="J1166" s="131"/>
      <c r="K1166" s="131"/>
      <c r="L1166" s="131"/>
      <c r="M1166" s="131"/>
      <c r="N1166" s="131"/>
      <c r="O1166" s="131"/>
      <c r="P1166" s="131"/>
      <c r="Q1166" s="131"/>
      <c r="R1166" s="131"/>
      <c r="S1166" s="131"/>
      <c r="T1166" s="131"/>
      <c r="U1166" s="132"/>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19" t="s">
        <v>3406</v>
      </c>
      <c r="D1168" s="120"/>
      <c r="E1168" s="125" t="s">
        <v>162</v>
      </c>
      <c r="H1168" s="36"/>
      <c r="I1168" s="36"/>
      <c r="J1168" s="36"/>
      <c r="K1168" s="36"/>
      <c r="L1168" s="36"/>
      <c r="M1168" s="36"/>
      <c r="N1168" s="36"/>
      <c r="O1168" s="36"/>
      <c r="P1168" s="36"/>
      <c r="Q1168" s="36"/>
      <c r="R1168" s="119" t="str">
        <f>"バックアップ_"&amp;SUBSTITUTE(C1168,"_結合","")</f>
        <v>バックアップ_医科レセプト_レセプト共通レコード</v>
      </c>
      <c r="S1168" s="120"/>
      <c r="T1168" s="123" t="str">
        <f>エンティティ一覧!$O$2</f>
        <v>milscm_2023_009</v>
      </c>
    </row>
    <row r="1169" spans="2:23" ht="18.75" customHeight="1">
      <c r="C1169" s="121"/>
      <c r="D1169" s="122"/>
      <c r="E1169" s="126"/>
      <c r="F1169" s="37"/>
      <c r="G1169" s="38"/>
      <c r="H1169" s="37"/>
      <c r="I1169" s="37"/>
      <c r="J1169" s="37"/>
      <c r="K1169" s="37"/>
      <c r="L1169" s="37"/>
      <c r="M1169" s="37"/>
      <c r="N1169" s="37"/>
      <c r="O1169" s="37"/>
      <c r="P1169" s="37"/>
      <c r="Q1169" s="37"/>
      <c r="R1169" s="121"/>
      <c r="S1169" s="122"/>
      <c r="T1169" s="124"/>
    </row>
    <row r="1170" spans="2:23" ht="18.75" customHeight="1">
      <c r="F1170" s="39"/>
      <c r="G1170" s="40"/>
    </row>
    <row r="1171" spans="2:23" ht="18.75" customHeight="1">
      <c r="C1171" s="119" t="s">
        <v>3183</v>
      </c>
      <c r="D1171" s="120"/>
      <c r="E1171" s="123" t="str">
        <f>エンティティ一覧!$O$2</f>
        <v>milscm_2023_009</v>
      </c>
      <c r="G1171" s="41"/>
    </row>
    <row r="1172" spans="2:23" ht="18.75" customHeight="1">
      <c r="C1172" s="121"/>
      <c r="D1172" s="122"/>
      <c r="E1172" s="124"/>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3407</v>
      </c>
      <c r="D1176" s="88"/>
      <c r="W1176" s="35" t="str">
        <f>"-- "&amp;B1176&amp;" : "&amp;C1176</f>
        <v>-- SQL_ID : 01_C2-06</v>
      </c>
    </row>
    <row r="1177" spans="2:23" ht="18.75" customHeight="1">
      <c r="B1177" s="43" t="s">
        <v>158</v>
      </c>
      <c r="C1177" s="127" t="str">
        <f>R1180&amp;"登録"</f>
        <v>バックアップ_医科レセプト_傷病名レコード登録</v>
      </c>
      <c r="D1177" s="128"/>
      <c r="E1177" s="128"/>
      <c r="F1177" s="128"/>
      <c r="G1177" s="128"/>
      <c r="H1177" s="128"/>
      <c r="I1177" s="128"/>
      <c r="J1177" s="128"/>
      <c r="K1177" s="128"/>
      <c r="L1177" s="128"/>
      <c r="M1177" s="128"/>
      <c r="N1177" s="128"/>
      <c r="O1177" s="128"/>
      <c r="P1177" s="128"/>
      <c r="Q1177" s="128"/>
      <c r="R1177" s="128"/>
      <c r="S1177" s="128"/>
      <c r="T1177" s="128"/>
      <c r="U1177" s="129"/>
      <c r="W1177" s="35" t="str">
        <f>"-- "&amp;C1177</f>
        <v>-- バックアップ_医科レセプト_傷病名レコード登録</v>
      </c>
    </row>
    <row r="1178" spans="2:23" ht="18.75" customHeight="1">
      <c r="B1178" s="43" t="s">
        <v>159</v>
      </c>
      <c r="C1178" s="130"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31"/>
      <c r="E1178" s="131"/>
      <c r="F1178" s="131"/>
      <c r="G1178" s="131"/>
      <c r="H1178" s="131"/>
      <c r="I1178" s="131"/>
      <c r="J1178" s="131"/>
      <c r="K1178" s="131"/>
      <c r="L1178" s="131"/>
      <c r="M1178" s="131"/>
      <c r="N1178" s="131"/>
      <c r="O1178" s="131"/>
      <c r="P1178" s="131"/>
      <c r="Q1178" s="131"/>
      <c r="R1178" s="131"/>
      <c r="S1178" s="131"/>
      <c r="T1178" s="131"/>
      <c r="U1178" s="132"/>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19" t="s">
        <v>3408</v>
      </c>
      <c r="D1180" s="120"/>
      <c r="E1180" s="125" t="s">
        <v>162</v>
      </c>
      <c r="H1180" s="36"/>
      <c r="I1180" s="36"/>
      <c r="J1180" s="36"/>
      <c r="K1180" s="36"/>
      <c r="L1180" s="36"/>
      <c r="M1180" s="36"/>
      <c r="N1180" s="36"/>
      <c r="O1180" s="36"/>
      <c r="P1180" s="36"/>
      <c r="Q1180" s="36"/>
      <c r="R1180" s="119" t="str">
        <f>"バックアップ_"&amp;SUBSTITUTE(C1180,"_結合","")</f>
        <v>バックアップ_医科レセプト_傷病名レコード</v>
      </c>
      <c r="S1180" s="120"/>
      <c r="T1180" s="123" t="str">
        <f>エンティティ一覧!$O$2</f>
        <v>milscm_2023_009</v>
      </c>
    </row>
    <row r="1181" spans="2:23" ht="18.75" customHeight="1">
      <c r="C1181" s="121"/>
      <c r="D1181" s="122"/>
      <c r="E1181" s="126"/>
      <c r="F1181" s="37"/>
      <c r="G1181" s="38"/>
      <c r="H1181" s="37"/>
      <c r="I1181" s="37"/>
      <c r="J1181" s="37"/>
      <c r="K1181" s="37"/>
      <c r="L1181" s="37"/>
      <c r="M1181" s="37"/>
      <c r="N1181" s="37"/>
      <c r="O1181" s="37"/>
      <c r="P1181" s="37"/>
      <c r="Q1181" s="37"/>
      <c r="R1181" s="121"/>
      <c r="S1181" s="122"/>
      <c r="T1181" s="124"/>
    </row>
    <row r="1182" spans="2:23" ht="18.75" customHeight="1">
      <c r="F1182" s="39"/>
      <c r="G1182" s="40"/>
    </row>
    <row r="1183" spans="2:23" ht="18.75" customHeight="1">
      <c r="C1183" s="119" t="s">
        <v>3183</v>
      </c>
      <c r="D1183" s="120"/>
      <c r="E1183" s="123" t="str">
        <f>エンティティ一覧!$O$2</f>
        <v>milscm_2023_009</v>
      </c>
      <c r="G1183" s="41"/>
    </row>
    <row r="1184" spans="2:23" ht="18.75" customHeight="1">
      <c r="C1184" s="121"/>
      <c r="D1184" s="122"/>
      <c r="E1184" s="124"/>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3409</v>
      </c>
      <c r="D1188" s="88"/>
      <c r="W1188" s="35" t="str">
        <f>"-- "&amp;B1188&amp;" : "&amp;C1188</f>
        <v>-- SQL_ID : 01_C2-07</v>
      </c>
    </row>
    <row r="1189" spans="2:23" ht="18.75" customHeight="1">
      <c r="B1189" s="43" t="s">
        <v>158</v>
      </c>
      <c r="C1189" s="127" t="str">
        <f>R1192&amp;"登録"</f>
        <v>バックアップ_医科レセプト_診療行為レコード登録</v>
      </c>
      <c r="D1189" s="128"/>
      <c r="E1189" s="128"/>
      <c r="F1189" s="128"/>
      <c r="G1189" s="128"/>
      <c r="H1189" s="128"/>
      <c r="I1189" s="128"/>
      <c r="J1189" s="128"/>
      <c r="K1189" s="128"/>
      <c r="L1189" s="128"/>
      <c r="M1189" s="128"/>
      <c r="N1189" s="128"/>
      <c r="O1189" s="128"/>
      <c r="P1189" s="128"/>
      <c r="Q1189" s="128"/>
      <c r="R1189" s="128"/>
      <c r="S1189" s="128"/>
      <c r="T1189" s="128"/>
      <c r="U1189" s="129"/>
      <c r="W1189" s="35" t="str">
        <f>"-- "&amp;C1189</f>
        <v>-- バックアップ_医科レセプト_診療行為レコード登録</v>
      </c>
    </row>
    <row r="1190" spans="2:23" ht="18.75" customHeight="1">
      <c r="B1190" s="43" t="s">
        <v>159</v>
      </c>
      <c r="C1190" s="130"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31"/>
      <c r="E1190" s="131"/>
      <c r="F1190" s="131"/>
      <c r="G1190" s="131"/>
      <c r="H1190" s="131"/>
      <c r="I1190" s="131"/>
      <c r="J1190" s="131"/>
      <c r="K1190" s="131"/>
      <c r="L1190" s="131"/>
      <c r="M1190" s="131"/>
      <c r="N1190" s="131"/>
      <c r="O1190" s="131"/>
      <c r="P1190" s="131"/>
      <c r="Q1190" s="131"/>
      <c r="R1190" s="131"/>
      <c r="S1190" s="131"/>
      <c r="T1190" s="131"/>
      <c r="U1190" s="132"/>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19" t="s">
        <v>3410</v>
      </c>
      <c r="D1192" s="120"/>
      <c r="E1192" s="125" t="s">
        <v>162</v>
      </c>
      <c r="H1192" s="36"/>
      <c r="I1192" s="36"/>
      <c r="J1192" s="36"/>
      <c r="K1192" s="36"/>
      <c r="L1192" s="36"/>
      <c r="M1192" s="36"/>
      <c r="N1192" s="36"/>
      <c r="O1192" s="36"/>
      <c r="P1192" s="36"/>
      <c r="Q1192" s="36"/>
      <c r="R1192" s="119" t="str">
        <f>"バックアップ_"&amp;SUBSTITUTE(C1192,"_結合","")</f>
        <v>バックアップ_医科レセプト_診療行為レコード</v>
      </c>
      <c r="S1192" s="120"/>
      <c r="T1192" s="123" t="str">
        <f>エンティティ一覧!$O$2</f>
        <v>milscm_2023_009</v>
      </c>
    </row>
    <row r="1193" spans="2:23" ht="18.75" customHeight="1">
      <c r="C1193" s="121"/>
      <c r="D1193" s="122"/>
      <c r="E1193" s="126"/>
      <c r="F1193" s="37"/>
      <c r="G1193" s="38"/>
      <c r="H1193" s="37"/>
      <c r="I1193" s="37"/>
      <c r="J1193" s="37"/>
      <c r="K1193" s="37"/>
      <c r="L1193" s="37"/>
      <c r="M1193" s="37"/>
      <c r="N1193" s="37"/>
      <c r="O1193" s="37"/>
      <c r="P1193" s="37"/>
      <c r="Q1193" s="37"/>
      <c r="R1193" s="121"/>
      <c r="S1193" s="122"/>
      <c r="T1193" s="124"/>
    </row>
    <row r="1194" spans="2:23" ht="18.75" customHeight="1">
      <c r="F1194" s="39"/>
      <c r="G1194" s="40"/>
    </row>
    <row r="1195" spans="2:23" ht="18.75" customHeight="1">
      <c r="C1195" s="119" t="s">
        <v>3183</v>
      </c>
      <c r="D1195" s="120"/>
      <c r="E1195" s="123" t="str">
        <f>エンティティ一覧!$O$2</f>
        <v>milscm_2023_009</v>
      </c>
      <c r="G1195" s="41"/>
    </row>
    <row r="1196" spans="2:23" ht="18.75" customHeight="1">
      <c r="C1196" s="121"/>
      <c r="D1196" s="122"/>
      <c r="E1196" s="124"/>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3411</v>
      </c>
      <c r="D1200" s="88"/>
      <c r="W1200" s="35" t="str">
        <f>"-- "&amp;B1200&amp;" : "&amp;C1200</f>
        <v>-- SQL_ID : 01_C2-08</v>
      </c>
    </row>
    <row r="1201" spans="2:23" ht="18.75" customHeight="1">
      <c r="B1201" s="43" t="s">
        <v>158</v>
      </c>
      <c r="C1201" s="127" t="str">
        <f>R1204&amp;"登録"</f>
        <v>バックアップ_医科レセプト_診療行為レコード_算定日情報登録</v>
      </c>
      <c r="D1201" s="128"/>
      <c r="E1201" s="128"/>
      <c r="F1201" s="128"/>
      <c r="G1201" s="128"/>
      <c r="H1201" s="128"/>
      <c r="I1201" s="128"/>
      <c r="J1201" s="128"/>
      <c r="K1201" s="128"/>
      <c r="L1201" s="128"/>
      <c r="M1201" s="128"/>
      <c r="N1201" s="128"/>
      <c r="O1201" s="128"/>
      <c r="P1201" s="128"/>
      <c r="Q1201" s="128"/>
      <c r="R1201" s="128"/>
      <c r="S1201" s="128"/>
      <c r="T1201" s="128"/>
      <c r="U1201" s="129"/>
      <c r="W1201" s="35" t="str">
        <f>"-- "&amp;C1201</f>
        <v>-- バックアップ_医科レセプト_診療行為レコード_算定日情報登録</v>
      </c>
    </row>
    <row r="1202" spans="2:23" ht="18.75" customHeight="1">
      <c r="B1202" s="43" t="s">
        <v>159</v>
      </c>
      <c r="C1202" s="130"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31"/>
      <c r="E1202" s="131"/>
      <c r="F1202" s="131"/>
      <c r="G1202" s="131"/>
      <c r="H1202" s="131"/>
      <c r="I1202" s="131"/>
      <c r="J1202" s="131"/>
      <c r="K1202" s="131"/>
      <c r="L1202" s="131"/>
      <c r="M1202" s="131"/>
      <c r="N1202" s="131"/>
      <c r="O1202" s="131"/>
      <c r="P1202" s="131"/>
      <c r="Q1202" s="131"/>
      <c r="R1202" s="131"/>
      <c r="S1202" s="131"/>
      <c r="T1202" s="131"/>
      <c r="U1202" s="132"/>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19" t="s">
        <v>3412</v>
      </c>
      <c r="D1204" s="120"/>
      <c r="E1204" s="125" t="s">
        <v>162</v>
      </c>
      <c r="H1204" s="36"/>
      <c r="I1204" s="36"/>
      <c r="J1204" s="36"/>
      <c r="K1204" s="36"/>
      <c r="L1204" s="36"/>
      <c r="M1204" s="36"/>
      <c r="N1204" s="36"/>
      <c r="O1204" s="36"/>
      <c r="P1204" s="36"/>
      <c r="Q1204" s="36"/>
      <c r="R1204" s="133" t="str">
        <f>"バックアップ_"&amp;SUBSTITUTE(C1204,"_結合","")</f>
        <v>バックアップ_医科レセプト_診療行為レコード_算定日情報</v>
      </c>
      <c r="S1204" s="134"/>
      <c r="T1204" s="123" t="str">
        <f>エンティティ一覧!$O$2</f>
        <v>milscm_2023_009</v>
      </c>
    </row>
    <row r="1205" spans="2:23" ht="18.75" customHeight="1">
      <c r="C1205" s="121"/>
      <c r="D1205" s="122"/>
      <c r="E1205" s="126"/>
      <c r="F1205" s="37"/>
      <c r="G1205" s="38"/>
      <c r="H1205" s="37"/>
      <c r="I1205" s="37"/>
      <c r="J1205" s="37"/>
      <c r="K1205" s="37"/>
      <c r="L1205" s="37"/>
      <c r="M1205" s="37"/>
      <c r="N1205" s="37"/>
      <c r="O1205" s="37"/>
      <c r="P1205" s="37"/>
      <c r="Q1205" s="37"/>
      <c r="R1205" s="135"/>
      <c r="S1205" s="136"/>
      <c r="T1205" s="124"/>
    </row>
    <row r="1206" spans="2:23" ht="18.75" customHeight="1">
      <c r="F1206" s="39"/>
      <c r="G1206" s="40"/>
    </row>
    <row r="1207" spans="2:23" ht="18.75" customHeight="1">
      <c r="C1207" s="119" t="s">
        <v>3183</v>
      </c>
      <c r="D1207" s="120"/>
      <c r="E1207" s="123" t="str">
        <f>エンティティ一覧!$O$2</f>
        <v>milscm_2023_009</v>
      </c>
      <c r="G1207" s="41"/>
    </row>
    <row r="1208" spans="2:23" ht="18.75" customHeight="1">
      <c r="C1208" s="121"/>
      <c r="D1208" s="122"/>
      <c r="E1208" s="124"/>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3413</v>
      </c>
      <c r="D1212" s="88"/>
      <c r="W1212" s="35" t="str">
        <f>"-- "&amp;B1212&amp;" : "&amp;C1212</f>
        <v>-- SQL_ID : 01_C2-09</v>
      </c>
    </row>
    <row r="1213" spans="2:23" ht="18.75" customHeight="1">
      <c r="B1213" s="43" t="s">
        <v>158</v>
      </c>
      <c r="C1213" s="127" t="str">
        <f>R1216&amp;"登録"</f>
        <v>バックアップ_医科レセプト_医薬品レコード登録</v>
      </c>
      <c r="D1213" s="128"/>
      <c r="E1213" s="128"/>
      <c r="F1213" s="128"/>
      <c r="G1213" s="128"/>
      <c r="H1213" s="128"/>
      <c r="I1213" s="128"/>
      <c r="J1213" s="128"/>
      <c r="K1213" s="128"/>
      <c r="L1213" s="128"/>
      <c r="M1213" s="128"/>
      <c r="N1213" s="128"/>
      <c r="O1213" s="128"/>
      <c r="P1213" s="128"/>
      <c r="Q1213" s="128"/>
      <c r="R1213" s="128"/>
      <c r="S1213" s="128"/>
      <c r="T1213" s="128"/>
      <c r="U1213" s="129"/>
      <c r="W1213" s="35" t="str">
        <f>"-- "&amp;C1213</f>
        <v>-- バックアップ_医科レセプト_医薬品レコード登録</v>
      </c>
    </row>
    <row r="1214" spans="2:23" ht="18.75" customHeight="1">
      <c r="B1214" s="43" t="s">
        <v>159</v>
      </c>
      <c r="C1214" s="130"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31"/>
      <c r="E1214" s="131"/>
      <c r="F1214" s="131"/>
      <c r="G1214" s="131"/>
      <c r="H1214" s="131"/>
      <c r="I1214" s="131"/>
      <c r="J1214" s="131"/>
      <c r="K1214" s="131"/>
      <c r="L1214" s="131"/>
      <c r="M1214" s="131"/>
      <c r="N1214" s="131"/>
      <c r="O1214" s="131"/>
      <c r="P1214" s="131"/>
      <c r="Q1214" s="131"/>
      <c r="R1214" s="131"/>
      <c r="S1214" s="131"/>
      <c r="T1214" s="131"/>
      <c r="U1214" s="132"/>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19" t="s">
        <v>3414</v>
      </c>
      <c r="D1216" s="120"/>
      <c r="E1216" s="125" t="s">
        <v>162</v>
      </c>
      <c r="H1216" s="36"/>
      <c r="I1216" s="36"/>
      <c r="J1216" s="36"/>
      <c r="K1216" s="36"/>
      <c r="L1216" s="36"/>
      <c r="M1216" s="36"/>
      <c r="N1216" s="36"/>
      <c r="O1216" s="36"/>
      <c r="P1216" s="36"/>
      <c r="Q1216" s="36"/>
      <c r="R1216" s="119" t="str">
        <f>"バックアップ_"&amp;SUBSTITUTE(C1216,"_結合","")</f>
        <v>バックアップ_医科レセプト_医薬品レコード</v>
      </c>
      <c r="S1216" s="120"/>
      <c r="T1216" s="123" t="str">
        <f>エンティティ一覧!$O$2</f>
        <v>milscm_2023_009</v>
      </c>
    </row>
    <row r="1217" spans="2:23" ht="18.75" customHeight="1">
      <c r="C1217" s="121"/>
      <c r="D1217" s="122"/>
      <c r="E1217" s="126"/>
      <c r="F1217" s="37"/>
      <c r="G1217" s="38"/>
      <c r="H1217" s="37"/>
      <c r="I1217" s="37"/>
      <c r="J1217" s="37"/>
      <c r="K1217" s="37"/>
      <c r="L1217" s="37"/>
      <c r="M1217" s="37"/>
      <c r="N1217" s="37"/>
      <c r="O1217" s="37"/>
      <c r="P1217" s="37"/>
      <c r="Q1217" s="37"/>
      <c r="R1217" s="121"/>
      <c r="S1217" s="122"/>
      <c r="T1217" s="124"/>
    </row>
    <row r="1218" spans="2:23" ht="18.75" customHeight="1">
      <c r="F1218" s="39"/>
      <c r="G1218" s="40"/>
    </row>
    <row r="1219" spans="2:23" ht="18.75" customHeight="1">
      <c r="C1219" s="119" t="s">
        <v>3183</v>
      </c>
      <c r="D1219" s="120"/>
      <c r="E1219" s="123" t="str">
        <f>エンティティ一覧!$O$2</f>
        <v>milscm_2023_009</v>
      </c>
      <c r="G1219" s="41"/>
    </row>
    <row r="1220" spans="2:23" ht="18.75" customHeight="1">
      <c r="C1220" s="121"/>
      <c r="D1220" s="122"/>
      <c r="E1220" s="124"/>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3415</v>
      </c>
      <c r="D1224" s="88"/>
      <c r="W1224" s="35" t="str">
        <f>"-- "&amp;B1224&amp;" : "&amp;C1224</f>
        <v>-- SQL_ID : 01_C2-10</v>
      </c>
    </row>
    <row r="1225" spans="2:23" ht="18.75" customHeight="1">
      <c r="B1225" s="43" t="s">
        <v>158</v>
      </c>
      <c r="C1225" s="127" t="str">
        <f>R1228&amp;"登録"</f>
        <v>バックアップ_医科レセプト_医薬品レコード_算定日情報登録</v>
      </c>
      <c r="D1225" s="128"/>
      <c r="E1225" s="128"/>
      <c r="F1225" s="128"/>
      <c r="G1225" s="128"/>
      <c r="H1225" s="128"/>
      <c r="I1225" s="128"/>
      <c r="J1225" s="128"/>
      <c r="K1225" s="128"/>
      <c r="L1225" s="128"/>
      <c r="M1225" s="128"/>
      <c r="N1225" s="128"/>
      <c r="O1225" s="128"/>
      <c r="P1225" s="128"/>
      <c r="Q1225" s="128"/>
      <c r="R1225" s="128"/>
      <c r="S1225" s="128"/>
      <c r="T1225" s="128"/>
      <c r="U1225" s="129"/>
      <c r="W1225" s="35" t="str">
        <f>"-- "&amp;C1225</f>
        <v>-- バックアップ_医科レセプト_医薬品レコード_算定日情報登録</v>
      </c>
    </row>
    <row r="1226" spans="2:23" ht="18.75" customHeight="1">
      <c r="B1226" s="43" t="s">
        <v>159</v>
      </c>
      <c r="C1226" s="130"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31"/>
      <c r="E1226" s="131"/>
      <c r="F1226" s="131"/>
      <c r="G1226" s="131"/>
      <c r="H1226" s="131"/>
      <c r="I1226" s="131"/>
      <c r="J1226" s="131"/>
      <c r="K1226" s="131"/>
      <c r="L1226" s="131"/>
      <c r="M1226" s="131"/>
      <c r="N1226" s="131"/>
      <c r="O1226" s="131"/>
      <c r="P1226" s="131"/>
      <c r="Q1226" s="131"/>
      <c r="R1226" s="131"/>
      <c r="S1226" s="131"/>
      <c r="T1226" s="131"/>
      <c r="U1226" s="132"/>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19" t="s">
        <v>3416</v>
      </c>
      <c r="D1228" s="120"/>
      <c r="E1228" s="125" t="s">
        <v>162</v>
      </c>
      <c r="H1228" s="36"/>
      <c r="I1228" s="36"/>
      <c r="J1228" s="36"/>
      <c r="K1228" s="36"/>
      <c r="L1228" s="36"/>
      <c r="M1228" s="36"/>
      <c r="N1228" s="36"/>
      <c r="O1228" s="36"/>
      <c r="P1228" s="36"/>
      <c r="Q1228" s="36"/>
      <c r="R1228" s="133" t="str">
        <f>"バックアップ_"&amp;SUBSTITUTE(C1228,"_結合","")</f>
        <v>バックアップ_医科レセプト_医薬品レコード_算定日情報</v>
      </c>
      <c r="S1228" s="134"/>
      <c r="T1228" s="123" t="str">
        <f>エンティティ一覧!$O$2</f>
        <v>milscm_2023_009</v>
      </c>
    </row>
    <row r="1229" spans="2:23" ht="18.75" customHeight="1">
      <c r="C1229" s="121"/>
      <c r="D1229" s="122"/>
      <c r="E1229" s="126"/>
      <c r="F1229" s="37"/>
      <c r="G1229" s="38"/>
      <c r="H1229" s="37"/>
      <c r="I1229" s="37"/>
      <c r="J1229" s="37"/>
      <c r="K1229" s="37"/>
      <c r="L1229" s="37"/>
      <c r="M1229" s="37"/>
      <c r="N1229" s="37"/>
      <c r="O1229" s="37"/>
      <c r="P1229" s="37"/>
      <c r="Q1229" s="37"/>
      <c r="R1229" s="135"/>
      <c r="S1229" s="136"/>
      <c r="T1229" s="124"/>
    </row>
    <row r="1230" spans="2:23" ht="18.75" customHeight="1">
      <c r="F1230" s="39"/>
      <c r="G1230" s="40"/>
    </row>
    <row r="1231" spans="2:23" ht="18.75" customHeight="1">
      <c r="C1231" s="119" t="s">
        <v>3183</v>
      </c>
      <c r="D1231" s="120"/>
      <c r="E1231" s="123" t="str">
        <f>エンティティ一覧!$O$2</f>
        <v>milscm_2023_009</v>
      </c>
      <c r="G1231" s="41"/>
    </row>
    <row r="1232" spans="2:23" ht="18.75" customHeight="1">
      <c r="C1232" s="121"/>
      <c r="D1232" s="122"/>
      <c r="E1232" s="124"/>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3417</v>
      </c>
      <c r="D1236" s="88"/>
      <c r="W1236" s="35" t="str">
        <f>"-- "&amp;B1236&amp;" : "&amp;C1236</f>
        <v>-- SQL_ID : 01_C2-16</v>
      </c>
    </row>
    <row r="1237" spans="2:23" ht="18.75" customHeight="1">
      <c r="B1237" s="43" t="s">
        <v>158</v>
      </c>
      <c r="C1237" s="127" t="str">
        <f>R1240&amp;"登録"</f>
        <v>バックアップ_医科レセプト_臓器提供者レセプト情報レコード登録</v>
      </c>
      <c r="D1237" s="128"/>
      <c r="E1237" s="128"/>
      <c r="F1237" s="128"/>
      <c r="G1237" s="128"/>
      <c r="H1237" s="128"/>
      <c r="I1237" s="128"/>
      <c r="J1237" s="128"/>
      <c r="K1237" s="128"/>
      <c r="L1237" s="128"/>
      <c r="M1237" s="128"/>
      <c r="N1237" s="128"/>
      <c r="O1237" s="128"/>
      <c r="P1237" s="128"/>
      <c r="Q1237" s="128"/>
      <c r="R1237" s="128"/>
      <c r="S1237" s="128"/>
      <c r="T1237" s="128"/>
      <c r="U1237" s="129"/>
      <c r="W1237" s="35" t="str">
        <f>"-- "&amp;C1237</f>
        <v>-- バックアップ_医科レセプト_臓器提供者レセプト情報レコード登録</v>
      </c>
    </row>
    <row r="1238" spans="2:23" ht="18.75" customHeight="1">
      <c r="B1238" s="43" t="s">
        <v>159</v>
      </c>
      <c r="C1238" s="130"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31"/>
      <c r="E1238" s="131"/>
      <c r="F1238" s="131"/>
      <c r="G1238" s="131"/>
      <c r="H1238" s="131"/>
      <c r="I1238" s="131"/>
      <c r="J1238" s="131"/>
      <c r="K1238" s="131"/>
      <c r="L1238" s="131"/>
      <c r="M1238" s="131"/>
      <c r="N1238" s="131"/>
      <c r="O1238" s="131"/>
      <c r="P1238" s="131"/>
      <c r="Q1238" s="131"/>
      <c r="R1238" s="131"/>
      <c r="S1238" s="131"/>
      <c r="T1238" s="131"/>
      <c r="U1238" s="132"/>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19" t="s">
        <v>3418</v>
      </c>
      <c r="D1240" s="120"/>
      <c r="E1240" s="125" t="s">
        <v>162</v>
      </c>
      <c r="H1240" s="36"/>
      <c r="I1240" s="36"/>
      <c r="J1240" s="36"/>
      <c r="K1240" s="36"/>
      <c r="L1240" s="36"/>
      <c r="M1240" s="36"/>
      <c r="N1240" s="36"/>
      <c r="O1240" s="36"/>
      <c r="P1240" s="36"/>
      <c r="Q1240" s="36"/>
      <c r="R1240" s="137" t="str">
        <f>"バックアップ_"&amp;SUBSTITUTE(C1240,"_結合","")</f>
        <v>バックアップ_医科レセプト_臓器提供者レセプト情報レコード</v>
      </c>
      <c r="S1240" s="138"/>
      <c r="T1240" s="123" t="str">
        <f>エンティティ一覧!$O$2</f>
        <v>milscm_2023_009</v>
      </c>
    </row>
    <row r="1241" spans="2:23" ht="18.75" customHeight="1">
      <c r="C1241" s="121"/>
      <c r="D1241" s="122"/>
      <c r="E1241" s="126"/>
      <c r="F1241" s="37"/>
      <c r="G1241" s="38"/>
      <c r="H1241" s="37"/>
      <c r="I1241" s="37"/>
      <c r="J1241" s="37"/>
      <c r="K1241" s="37"/>
      <c r="L1241" s="37"/>
      <c r="M1241" s="37"/>
      <c r="N1241" s="37"/>
      <c r="O1241" s="37"/>
      <c r="P1241" s="37"/>
      <c r="Q1241" s="37"/>
      <c r="R1241" s="139"/>
      <c r="S1241" s="140"/>
      <c r="T1241" s="124"/>
    </row>
    <row r="1242" spans="2:23" ht="18.75" customHeight="1">
      <c r="F1242" s="39"/>
      <c r="G1242" s="40"/>
    </row>
    <row r="1243" spans="2:23" ht="18.75" customHeight="1">
      <c r="C1243" s="119" t="s">
        <v>3183</v>
      </c>
      <c r="D1243" s="120"/>
      <c r="E1243" s="123" t="str">
        <f>エンティティ一覧!$O$2</f>
        <v>milscm_2023_009</v>
      </c>
      <c r="G1243" s="41"/>
    </row>
    <row r="1244" spans="2:23" ht="18.75" customHeight="1">
      <c r="C1244" s="121"/>
      <c r="D1244" s="122"/>
      <c r="E1244" s="124"/>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3419</v>
      </c>
      <c r="D1248" s="88"/>
      <c r="W1248" s="35" t="str">
        <f>"-- "&amp;B1248&amp;" : "&amp;C1248</f>
        <v>-- SQL_ID : 01_C3-01</v>
      </c>
    </row>
    <row r="1249" spans="2:23" ht="18.75" customHeight="1">
      <c r="B1249" s="43" t="s">
        <v>158</v>
      </c>
      <c r="C1249" s="127" t="str">
        <f>R1252&amp;"登録"</f>
        <v>バックアップ_DPCレセプト_医療機関情報レコード登録</v>
      </c>
      <c r="D1249" s="128"/>
      <c r="E1249" s="128"/>
      <c r="F1249" s="128"/>
      <c r="G1249" s="128"/>
      <c r="H1249" s="128"/>
      <c r="I1249" s="128"/>
      <c r="J1249" s="128"/>
      <c r="K1249" s="128"/>
      <c r="L1249" s="128"/>
      <c r="M1249" s="128"/>
      <c r="N1249" s="128"/>
      <c r="O1249" s="128"/>
      <c r="P1249" s="128"/>
      <c r="Q1249" s="128"/>
      <c r="R1249" s="128"/>
      <c r="S1249" s="128"/>
      <c r="T1249" s="128"/>
      <c r="U1249" s="129"/>
      <c r="W1249" s="35" t="str">
        <f>"-- "&amp;C1249</f>
        <v>-- バックアップ_DPCレセプト_医療機関情報レコード登録</v>
      </c>
    </row>
    <row r="1250" spans="2:23" ht="18.75" customHeight="1">
      <c r="B1250" s="43" t="s">
        <v>159</v>
      </c>
      <c r="C1250" s="130"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31"/>
      <c r="E1250" s="131"/>
      <c r="F1250" s="131"/>
      <c r="G1250" s="131"/>
      <c r="H1250" s="131"/>
      <c r="I1250" s="131"/>
      <c r="J1250" s="131"/>
      <c r="K1250" s="131"/>
      <c r="L1250" s="131"/>
      <c r="M1250" s="131"/>
      <c r="N1250" s="131"/>
      <c r="O1250" s="131"/>
      <c r="P1250" s="131"/>
      <c r="Q1250" s="131"/>
      <c r="R1250" s="131"/>
      <c r="S1250" s="131"/>
      <c r="T1250" s="131"/>
      <c r="U1250" s="132"/>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19" t="s">
        <v>3420</v>
      </c>
      <c r="D1252" s="120"/>
      <c r="E1252" s="125" t="s">
        <v>162</v>
      </c>
      <c r="H1252" s="36"/>
      <c r="I1252" s="36"/>
      <c r="J1252" s="36"/>
      <c r="K1252" s="36"/>
      <c r="L1252" s="36"/>
      <c r="M1252" s="36"/>
      <c r="N1252" s="36"/>
      <c r="O1252" s="36"/>
      <c r="P1252" s="36"/>
      <c r="Q1252" s="36"/>
      <c r="R1252" s="119" t="str">
        <f>"バックアップ_"&amp;SUBSTITUTE(C1252,"_結合","")</f>
        <v>バックアップ_DPCレセプト_医療機関情報レコード</v>
      </c>
      <c r="S1252" s="120"/>
      <c r="T1252" s="123" t="str">
        <f>エンティティ一覧!$O$2</f>
        <v>milscm_2023_009</v>
      </c>
    </row>
    <row r="1253" spans="2:23" ht="18.75" customHeight="1">
      <c r="C1253" s="121"/>
      <c r="D1253" s="122"/>
      <c r="E1253" s="126"/>
      <c r="F1253" s="37"/>
      <c r="G1253" s="38"/>
      <c r="H1253" s="37"/>
      <c r="I1253" s="37"/>
      <c r="J1253" s="37"/>
      <c r="K1253" s="37"/>
      <c r="L1253" s="37"/>
      <c r="M1253" s="37"/>
      <c r="N1253" s="37"/>
      <c r="O1253" s="37"/>
      <c r="P1253" s="37"/>
      <c r="Q1253" s="37"/>
      <c r="R1253" s="121"/>
      <c r="S1253" s="122"/>
      <c r="T1253" s="124"/>
    </row>
    <row r="1254" spans="2:23" ht="18.75" customHeight="1">
      <c r="F1254" s="39"/>
      <c r="G1254" s="40"/>
    </row>
    <row r="1255" spans="2:23" ht="18.75" customHeight="1">
      <c r="C1255" s="119" t="s">
        <v>3183</v>
      </c>
      <c r="D1255" s="120"/>
      <c r="E1255" s="123" t="str">
        <f>エンティティ一覧!$O$2</f>
        <v>milscm_2023_009</v>
      </c>
      <c r="G1255" s="41"/>
    </row>
    <row r="1256" spans="2:23" ht="18.75" customHeight="1">
      <c r="C1256" s="121"/>
      <c r="D1256" s="122"/>
      <c r="E1256" s="124"/>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3421</v>
      </c>
      <c r="D1260" s="88"/>
      <c r="W1260" s="35" t="str">
        <f>"-- "&amp;B1260&amp;" : "&amp;C1260</f>
        <v>-- SQL_ID : 01_C3-02</v>
      </c>
    </row>
    <row r="1261" spans="2:23" ht="18.75" customHeight="1">
      <c r="B1261" s="43" t="s">
        <v>158</v>
      </c>
      <c r="C1261" s="127" t="str">
        <f>R1264&amp;"登録"</f>
        <v>バックアップ_DPCレセプト_レセプト共通レコード登録</v>
      </c>
      <c r="D1261" s="128"/>
      <c r="E1261" s="128"/>
      <c r="F1261" s="128"/>
      <c r="G1261" s="128"/>
      <c r="H1261" s="128"/>
      <c r="I1261" s="128"/>
      <c r="J1261" s="128"/>
      <c r="K1261" s="128"/>
      <c r="L1261" s="128"/>
      <c r="M1261" s="128"/>
      <c r="N1261" s="128"/>
      <c r="O1261" s="128"/>
      <c r="P1261" s="128"/>
      <c r="Q1261" s="128"/>
      <c r="R1261" s="128"/>
      <c r="S1261" s="128"/>
      <c r="T1261" s="128"/>
      <c r="U1261" s="129"/>
      <c r="W1261" s="35" t="str">
        <f>"-- "&amp;C1261</f>
        <v>-- バックアップ_DPCレセプト_レセプト共通レコード登録</v>
      </c>
    </row>
    <row r="1262" spans="2:23" ht="18.75" customHeight="1">
      <c r="B1262" s="43" t="s">
        <v>159</v>
      </c>
      <c r="C1262" s="130"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31"/>
      <c r="E1262" s="131"/>
      <c r="F1262" s="131"/>
      <c r="G1262" s="131"/>
      <c r="H1262" s="131"/>
      <c r="I1262" s="131"/>
      <c r="J1262" s="131"/>
      <c r="K1262" s="131"/>
      <c r="L1262" s="131"/>
      <c r="M1262" s="131"/>
      <c r="N1262" s="131"/>
      <c r="O1262" s="131"/>
      <c r="P1262" s="131"/>
      <c r="Q1262" s="131"/>
      <c r="R1262" s="131"/>
      <c r="S1262" s="131"/>
      <c r="T1262" s="131"/>
      <c r="U1262" s="132"/>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19" t="s">
        <v>3422</v>
      </c>
      <c r="D1264" s="120"/>
      <c r="E1264" s="125" t="s">
        <v>162</v>
      </c>
      <c r="H1264" s="36"/>
      <c r="I1264" s="36"/>
      <c r="J1264" s="36"/>
      <c r="K1264" s="36"/>
      <c r="L1264" s="36"/>
      <c r="M1264" s="36"/>
      <c r="N1264" s="36"/>
      <c r="O1264" s="36"/>
      <c r="P1264" s="36"/>
      <c r="Q1264" s="36"/>
      <c r="R1264" s="119" t="str">
        <f>"バックアップ_"&amp;SUBSTITUTE(C1264,"_結合","")</f>
        <v>バックアップ_DPCレセプト_レセプト共通レコード</v>
      </c>
      <c r="S1264" s="120"/>
      <c r="T1264" s="123" t="str">
        <f>エンティティ一覧!$O$2</f>
        <v>milscm_2023_009</v>
      </c>
    </row>
    <row r="1265" spans="2:23" ht="18.75" customHeight="1">
      <c r="C1265" s="121"/>
      <c r="D1265" s="122"/>
      <c r="E1265" s="126"/>
      <c r="F1265" s="37"/>
      <c r="G1265" s="38"/>
      <c r="H1265" s="37"/>
      <c r="I1265" s="37"/>
      <c r="J1265" s="37"/>
      <c r="K1265" s="37"/>
      <c r="L1265" s="37"/>
      <c r="M1265" s="37"/>
      <c r="N1265" s="37"/>
      <c r="O1265" s="37"/>
      <c r="P1265" s="37"/>
      <c r="Q1265" s="37"/>
      <c r="R1265" s="121"/>
      <c r="S1265" s="122"/>
      <c r="T1265" s="124"/>
    </row>
    <row r="1266" spans="2:23" ht="18.75" customHeight="1">
      <c r="F1266" s="39"/>
      <c r="G1266" s="40"/>
    </row>
    <row r="1267" spans="2:23" ht="18.75" customHeight="1">
      <c r="C1267" s="119" t="s">
        <v>3183</v>
      </c>
      <c r="D1267" s="120"/>
      <c r="E1267" s="123" t="str">
        <f>エンティティ一覧!$O$2</f>
        <v>milscm_2023_009</v>
      </c>
      <c r="G1267" s="41"/>
    </row>
    <row r="1268" spans="2:23" ht="18.75" customHeight="1">
      <c r="C1268" s="121"/>
      <c r="D1268" s="122"/>
      <c r="E1268" s="124"/>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3423</v>
      </c>
      <c r="D1272" s="88"/>
      <c r="W1272" s="35" t="str">
        <f>"-- "&amp;B1272&amp;" : "&amp;C1272</f>
        <v>-- SQL_ID : 01_C3-08</v>
      </c>
    </row>
    <row r="1273" spans="2:23" ht="18.75" customHeight="1">
      <c r="B1273" s="43" t="s">
        <v>158</v>
      </c>
      <c r="C1273" s="127" t="str">
        <f>R1276&amp;"登録"</f>
        <v>バックアップ_DPCレセプト_診断群分類レコード登録</v>
      </c>
      <c r="D1273" s="128"/>
      <c r="E1273" s="128"/>
      <c r="F1273" s="128"/>
      <c r="G1273" s="128"/>
      <c r="H1273" s="128"/>
      <c r="I1273" s="128"/>
      <c r="J1273" s="128"/>
      <c r="K1273" s="128"/>
      <c r="L1273" s="128"/>
      <c r="M1273" s="128"/>
      <c r="N1273" s="128"/>
      <c r="O1273" s="128"/>
      <c r="P1273" s="128"/>
      <c r="Q1273" s="128"/>
      <c r="R1273" s="128"/>
      <c r="S1273" s="128"/>
      <c r="T1273" s="128"/>
      <c r="U1273" s="129"/>
      <c r="W1273" s="35" t="str">
        <f>"-- "&amp;C1273</f>
        <v>-- バックアップ_DPCレセプト_診断群分類レコード登録</v>
      </c>
    </row>
    <row r="1274" spans="2:23" ht="18.75" customHeight="1">
      <c r="B1274" s="43" t="s">
        <v>159</v>
      </c>
      <c r="C1274" s="130"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31"/>
      <c r="E1274" s="131"/>
      <c r="F1274" s="131"/>
      <c r="G1274" s="131"/>
      <c r="H1274" s="131"/>
      <c r="I1274" s="131"/>
      <c r="J1274" s="131"/>
      <c r="K1274" s="131"/>
      <c r="L1274" s="131"/>
      <c r="M1274" s="131"/>
      <c r="N1274" s="131"/>
      <c r="O1274" s="131"/>
      <c r="P1274" s="131"/>
      <c r="Q1274" s="131"/>
      <c r="R1274" s="131"/>
      <c r="S1274" s="131"/>
      <c r="T1274" s="131"/>
      <c r="U1274" s="132"/>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19" t="s">
        <v>3424</v>
      </c>
      <c r="D1276" s="120"/>
      <c r="E1276" s="125" t="s">
        <v>162</v>
      </c>
      <c r="H1276" s="36"/>
      <c r="I1276" s="36"/>
      <c r="J1276" s="36"/>
      <c r="K1276" s="36"/>
      <c r="L1276" s="36"/>
      <c r="M1276" s="36"/>
      <c r="N1276" s="36"/>
      <c r="O1276" s="36"/>
      <c r="P1276" s="36"/>
      <c r="Q1276" s="36"/>
      <c r="R1276" s="119" t="str">
        <f>"バックアップ_"&amp;SUBSTITUTE(C1276,"_結合","")</f>
        <v>バックアップ_DPCレセプト_診断群分類レコード</v>
      </c>
      <c r="S1276" s="120"/>
      <c r="T1276" s="123" t="str">
        <f>エンティティ一覧!$O$2</f>
        <v>milscm_2023_009</v>
      </c>
    </row>
    <row r="1277" spans="2:23" ht="18.75" customHeight="1">
      <c r="C1277" s="121"/>
      <c r="D1277" s="122"/>
      <c r="E1277" s="126"/>
      <c r="F1277" s="37"/>
      <c r="G1277" s="38"/>
      <c r="H1277" s="37"/>
      <c r="I1277" s="37"/>
      <c r="J1277" s="37"/>
      <c r="K1277" s="37"/>
      <c r="L1277" s="37"/>
      <c r="M1277" s="37"/>
      <c r="N1277" s="37"/>
      <c r="O1277" s="37"/>
      <c r="P1277" s="37"/>
      <c r="Q1277" s="37"/>
      <c r="R1277" s="121"/>
      <c r="S1277" s="122"/>
      <c r="T1277" s="124"/>
    </row>
    <row r="1278" spans="2:23" ht="18.75" customHeight="1">
      <c r="F1278" s="39"/>
      <c r="G1278" s="40"/>
    </row>
    <row r="1279" spans="2:23" ht="18.75" customHeight="1">
      <c r="C1279" s="119" t="s">
        <v>3183</v>
      </c>
      <c r="D1279" s="120"/>
      <c r="E1279" s="123" t="str">
        <f>エンティティ一覧!$O$2</f>
        <v>milscm_2023_009</v>
      </c>
      <c r="G1279" s="41"/>
    </row>
    <row r="1280" spans="2:23" ht="18.75" customHeight="1">
      <c r="C1280" s="121"/>
      <c r="D1280" s="122"/>
      <c r="E1280" s="124"/>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3425</v>
      </c>
      <c r="D1284" s="88"/>
      <c r="W1284" s="35" t="str">
        <f>"-- "&amp;B1284&amp;" : "&amp;C1284</f>
        <v>-- SQL_ID : 01_C3-09</v>
      </c>
    </row>
    <row r="1285" spans="2:23" ht="18.75" customHeight="1">
      <c r="B1285" s="43" t="s">
        <v>158</v>
      </c>
      <c r="C1285" s="127" t="str">
        <f>R1288&amp;"登録"</f>
        <v>バックアップ_DPCレセプト_傷病レコード登録</v>
      </c>
      <c r="D1285" s="128"/>
      <c r="E1285" s="128"/>
      <c r="F1285" s="128"/>
      <c r="G1285" s="128"/>
      <c r="H1285" s="128"/>
      <c r="I1285" s="128"/>
      <c r="J1285" s="128"/>
      <c r="K1285" s="128"/>
      <c r="L1285" s="128"/>
      <c r="M1285" s="128"/>
      <c r="N1285" s="128"/>
      <c r="O1285" s="128"/>
      <c r="P1285" s="128"/>
      <c r="Q1285" s="128"/>
      <c r="R1285" s="128"/>
      <c r="S1285" s="128"/>
      <c r="T1285" s="128"/>
      <c r="U1285" s="129"/>
      <c r="W1285" s="35" t="str">
        <f>"-- "&amp;C1285</f>
        <v>-- バックアップ_DPCレセプト_傷病レコード登録</v>
      </c>
    </row>
    <row r="1286" spans="2:23" ht="18.75" customHeight="1">
      <c r="B1286" s="43" t="s">
        <v>159</v>
      </c>
      <c r="C1286" s="130"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31"/>
      <c r="E1286" s="131"/>
      <c r="F1286" s="131"/>
      <c r="G1286" s="131"/>
      <c r="H1286" s="131"/>
      <c r="I1286" s="131"/>
      <c r="J1286" s="131"/>
      <c r="K1286" s="131"/>
      <c r="L1286" s="131"/>
      <c r="M1286" s="131"/>
      <c r="N1286" s="131"/>
      <c r="O1286" s="131"/>
      <c r="P1286" s="131"/>
      <c r="Q1286" s="131"/>
      <c r="R1286" s="131"/>
      <c r="S1286" s="131"/>
      <c r="T1286" s="131"/>
      <c r="U1286" s="132"/>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19" t="s">
        <v>3426</v>
      </c>
      <c r="D1288" s="120"/>
      <c r="E1288" s="125" t="s">
        <v>162</v>
      </c>
      <c r="H1288" s="36"/>
      <c r="I1288" s="36"/>
      <c r="J1288" s="36"/>
      <c r="K1288" s="36"/>
      <c r="L1288" s="36"/>
      <c r="M1288" s="36"/>
      <c r="N1288" s="36"/>
      <c r="O1288" s="36"/>
      <c r="P1288" s="36"/>
      <c r="Q1288" s="36"/>
      <c r="R1288" s="119" t="str">
        <f>"バックアップ_"&amp;SUBSTITUTE(C1288,"_結合","")</f>
        <v>バックアップ_DPCレセプト_傷病レコード</v>
      </c>
      <c r="S1288" s="120"/>
      <c r="T1288" s="123" t="str">
        <f>エンティティ一覧!$O$2</f>
        <v>milscm_2023_009</v>
      </c>
    </row>
    <row r="1289" spans="2:23" ht="18.75" customHeight="1">
      <c r="C1289" s="121"/>
      <c r="D1289" s="122"/>
      <c r="E1289" s="126"/>
      <c r="F1289" s="37"/>
      <c r="G1289" s="38"/>
      <c r="H1289" s="37"/>
      <c r="I1289" s="37"/>
      <c r="J1289" s="37"/>
      <c r="K1289" s="37"/>
      <c r="L1289" s="37"/>
      <c r="M1289" s="37"/>
      <c r="N1289" s="37"/>
      <c r="O1289" s="37"/>
      <c r="P1289" s="37"/>
      <c r="Q1289" s="37"/>
      <c r="R1289" s="121"/>
      <c r="S1289" s="122"/>
      <c r="T1289" s="124"/>
    </row>
    <row r="1290" spans="2:23" ht="18.75" customHeight="1">
      <c r="F1290" s="39"/>
      <c r="G1290" s="40"/>
    </row>
    <row r="1291" spans="2:23" ht="18.75" customHeight="1">
      <c r="C1291" s="119" t="s">
        <v>3183</v>
      </c>
      <c r="D1291" s="120"/>
      <c r="E1291" s="123" t="str">
        <f>エンティティ一覧!$O$2</f>
        <v>milscm_2023_009</v>
      </c>
      <c r="G1291" s="41"/>
    </row>
    <row r="1292" spans="2:23" ht="18.75" customHeight="1">
      <c r="C1292" s="121"/>
      <c r="D1292" s="122"/>
      <c r="E1292" s="124"/>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3427</v>
      </c>
      <c r="D1296" s="88"/>
      <c r="W1296" s="35" t="str">
        <f>"-- "&amp;B1296&amp;" : "&amp;C1296</f>
        <v>-- SQL_ID : 01_C3-10</v>
      </c>
    </row>
    <row r="1297" spans="2:23" ht="18.75" customHeight="1">
      <c r="B1297" s="43" t="s">
        <v>158</v>
      </c>
      <c r="C1297" s="127" t="str">
        <f>R1300&amp;"登録"</f>
        <v>バックアップ_DPCレセプト_傷病名レコード登録</v>
      </c>
      <c r="D1297" s="128"/>
      <c r="E1297" s="128"/>
      <c r="F1297" s="128"/>
      <c r="G1297" s="128"/>
      <c r="H1297" s="128"/>
      <c r="I1297" s="128"/>
      <c r="J1297" s="128"/>
      <c r="K1297" s="128"/>
      <c r="L1297" s="128"/>
      <c r="M1297" s="128"/>
      <c r="N1297" s="128"/>
      <c r="O1297" s="128"/>
      <c r="P1297" s="128"/>
      <c r="Q1297" s="128"/>
      <c r="R1297" s="128"/>
      <c r="S1297" s="128"/>
      <c r="T1297" s="128"/>
      <c r="U1297" s="129"/>
      <c r="W1297" s="35" t="str">
        <f>"-- "&amp;C1297</f>
        <v>-- バックアップ_DPCレセプト_傷病名レコード登録</v>
      </c>
    </row>
    <row r="1298" spans="2:23" ht="18.75" customHeight="1">
      <c r="B1298" s="43" t="s">
        <v>159</v>
      </c>
      <c r="C1298" s="130"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31"/>
      <c r="E1298" s="131"/>
      <c r="F1298" s="131"/>
      <c r="G1298" s="131"/>
      <c r="H1298" s="131"/>
      <c r="I1298" s="131"/>
      <c r="J1298" s="131"/>
      <c r="K1298" s="131"/>
      <c r="L1298" s="131"/>
      <c r="M1298" s="131"/>
      <c r="N1298" s="131"/>
      <c r="O1298" s="131"/>
      <c r="P1298" s="131"/>
      <c r="Q1298" s="131"/>
      <c r="R1298" s="131"/>
      <c r="S1298" s="131"/>
      <c r="T1298" s="131"/>
      <c r="U1298" s="132"/>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19" t="s">
        <v>3428</v>
      </c>
      <c r="D1300" s="120"/>
      <c r="E1300" s="125" t="s">
        <v>162</v>
      </c>
      <c r="H1300" s="36"/>
      <c r="I1300" s="36"/>
      <c r="J1300" s="36"/>
      <c r="K1300" s="36"/>
      <c r="L1300" s="36"/>
      <c r="M1300" s="36"/>
      <c r="N1300" s="36"/>
      <c r="O1300" s="36"/>
      <c r="P1300" s="36"/>
      <c r="Q1300" s="36"/>
      <c r="R1300" s="119" t="str">
        <f>"バックアップ_"&amp;SUBSTITUTE(C1300,"_結合","")</f>
        <v>バックアップ_DPCレセプト_傷病名レコード</v>
      </c>
      <c r="S1300" s="120"/>
      <c r="T1300" s="123" t="str">
        <f>エンティティ一覧!$O$2</f>
        <v>milscm_2023_009</v>
      </c>
    </row>
    <row r="1301" spans="2:23" ht="18.75" customHeight="1">
      <c r="C1301" s="121"/>
      <c r="D1301" s="122"/>
      <c r="E1301" s="126"/>
      <c r="F1301" s="37"/>
      <c r="G1301" s="38"/>
      <c r="H1301" s="37"/>
      <c r="I1301" s="37"/>
      <c r="J1301" s="37"/>
      <c r="K1301" s="37"/>
      <c r="L1301" s="37"/>
      <c r="M1301" s="37"/>
      <c r="N1301" s="37"/>
      <c r="O1301" s="37"/>
      <c r="P1301" s="37"/>
      <c r="Q1301" s="37"/>
      <c r="R1301" s="121"/>
      <c r="S1301" s="122"/>
      <c r="T1301" s="124"/>
    </row>
    <row r="1302" spans="2:23" ht="18.75" customHeight="1">
      <c r="F1302" s="39"/>
      <c r="G1302" s="40"/>
    </row>
    <row r="1303" spans="2:23" ht="18.75" customHeight="1">
      <c r="C1303" s="119" t="s">
        <v>3183</v>
      </c>
      <c r="D1303" s="120"/>
      <c r="E1303" s="123" t="str">
        <f>エンティティ一覧!$O$2</f>
        <v>milscm_2023_009</v>
      </c>
      <c r="G1303" s="41"/>
    </row>
    <row r="1304" spans="2:23" ht="18.75" customHeight="1">
      <c r="C1304" s="121"/>
      <c r="D1304" s="122"/>
      <c r="E1304" s="124"/>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3429</v>
      </c>
      <c r="D1308" s="88"/>
      <c r="W1308" s="35" t="str">
        <f>"-- "&amp;B1308&amp;" : "&amp;C1308</f>
        <v>-- SQL_ID : 01_C3-16</v>
      </c>
    </row>
    <row r="1309" spans="2:23" ht="18.75" customHeight="1">
      <c r="B1309" s="43" t="s">
        <v>158</v>
      </c>
      <c r="C1309" s="127" t="str">
        <f>R1312&amp;"登録"</f>
        <v>バックアップ_DPCレセプト_診療行為レコード登録</v>
      </c>
      <c r="D1309" s="128"/>
      <c r="E1309" s="128"/>
      <c r="F1309" s="128"/>
      <c r="G1309" s="128"/>
      <c r="H1309" s="128"/>
      <c r="I1309" s="128"/>
      <c r="J1309" s="128"/>
      <c r="K1309" s="128"/>
      <c r="L1309" s="128"/>
      <c r="M1309" s="128"/>
      <c r="N1309" s="128"/>
      <c r="O1309" s="128"/>
      <c r="P1309" s="128"/>
      <c r="Q1309" s="128"/>
      <c r="R1309" s="128"/>
      <c r="S1309" s="128"/>
      <c r="T1309" s="128"/>
      <c r="U1309" s="129"/>
      <c r="W1309" s="35" t="str">
        <f>"-- "&amp;C1309</f>
        <v>-- バックアップ_DPCレセプト_診療行為レコード登録</v>
      </c>
    </row>
    <row r="1310" spans="2:23" ht="18.75" customHeight="1">
      <c r="B1310" s="43" t="s">
        <v>159</v>
      </c>
      <c r="C1310" s="130"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31"/>
      <c r="E1310" s="131"/>
      <c r="F1310" s="131"/>
      <c r="G1310" s="131"/>
      <c r="H1310" s="131"/>
      <c r="I1310" s="131"/>
      <c r="J1310" s="131"/>
      <c r="K1310" s="131"/>
      <c r="L1310" s="131"/>
      <c r="M1310" s="131"/>
      <c r="N1310" s="131"/>
      <c r="O1310" s="131"/>
      <c r="P1310" s="131"/>
      <c r="Q1310" s="131"/>
      <c r="R1310" s="131"/>
      <c r="S1310" s="131"/>
      <c r="T1310" s="131"/>
      <c r="U1310" s="132"/>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19" t="s">
        <v>3430</v>
      </c>
      <c r="D1312" s="120"/>
      <c r="E1312" s="125" t="s">
        <v>162</v>
      </c>
      <c r="H1312" s="36"/>
      <c r="I1312" s="36"/>
      <c r="J1312" s="36"/>
      <c r="K1312" s="36"/>
      <c r="L1312" s="36"/>
      <c r="M1312" s="36"/>
      <c r="N1312" s="36"/>
      <c r="O1312" s="36"/>
      <c r="P1312" s="36"/>
      <c r="Q1312" s="36"/>
      <c r="R1312" s="119" t="str">
        <f>"バックアップ_"&amp;SUBSTITUTE(C1312,"_結合","")</f>
        <v>バックアップ_DPCレセプト_診療行為レコード</v>
      </c>
      <c r="S1312" s="120"/>
      <c r="T1312" s="123" t="str">
        <f>エンティティ一覧!$O$2</f>
        <v>milscm_2023_009</v>
      </c>
    </row>
    <row r="1313" spans="2:23" ht="18.75" customHeight="1">
      <c r="C1313" s="121"/>
      <c r="D1313" s="122"/>
      <c r="E1313" s="126"/>
      <c r="F1313" s="37"/>
      <c r="G1313" s="38"/>
      <c r="H1313" s="37"/>
      <c r="I1313" s="37"/>
      <c r="J1313" s="37"/>
      <c r="K1313" s="37"/>
      <c r="L1313" s="37"/>
      <c r="M1313" s="37"/>
      <c r="N1313" s="37"/>
      <c r="O1313" s="37"/>
      <c r="P1313" s="37"/>
      <c r="Q1313" s="37"/>
      <c r="R1313" s="121"/>
      <c r="S1313" s="122"/>
      <c r="T1313" s="124"/>
    </row>
    <row r="1314" spans="2:23" ht="18.75" customHeight="1">
      <c r="F1314" s="39"/>
      <c r="G1314" s="40"/>
    </row>
    <row r="1315" spans="2:23" ht="18.75" customHeight="1">
      <c r="C1315" s="119" t="s">
        <v>3183</v>
      </c>
      <c r="D1315" s="120"/>
      <c r="E1315" s="123" t="str">
        <f>エンティティ一覧!$O$2</f>
        <v>milscm_2023_009</v>
      </c>
      <c r="G1315" s="41"/>
    </row>
    <row r="1316" spans="2:23" ht="18.75" customHeight="1">
      <c r="C1316" s="121"/>
      <c r="D1316" s="122"/>
      <c r="E1316" s="124"/>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3431</v>
      </c>
      <c r="D1320" s="88"/>
      <c r="W1320" s="35" t="str">
        <f>"-- "&amp;B1320&amp;" : "&amp;C1320</f>
        <v>-- SQL_ID : 01_C3-17</v>
      </c>
    </row>
    <row r="1321" spans="2:23" ht="18.75" customHeight="1">
      <c r="B1321" s="43" t="s">
        <v>158</v>
      </c>
      <c r="C1321" s="127" t="str">
        <f>R1324&amp;"登録"</f>
        <v>バックアップ_DPCレセプト_診療行為レコード_算定日情報登録</v>
      </c>
      <c r="D1321" s="128"/>
      <c r="E1321" s="128"/>
      <c r="F1321" s="128"/>
      <c r="G1321" s="128"/>
      <c r="H1321" s="128"/>
      <c r="I1321" s="128"/>
      <c r="J1321" s="128"/>
      <c r="K1321" s="128"/>
      <c r="L1321" s="128"/>
      <c r="M1321" s="128"/>
      <c r="N1321" s="128"/>
      <c r="O1321" s="128"/>
      <c r="P1321" s="128"/>
      <c r="Q1321" s="128"/>
      <c r="R1321" s="128"/>
      <c r="S1321" s="128"/>
      <c r="T1321" s="128"/>
      <c r="U1321" s="129"/>
      <c r="W1321" s="35" t="str">
        <f>"-- "&amp;C1321</f>
        <v>-- バックアップ_DPCレセプト_診療行為レコード_算定日情報登録</v>
      </c>
    </row>
    <row r="1322" spans="2:23" ht="18.75" customHeight="1">
      <c r="B1322" s="43" t="s">
        <v>159</v>
      </c>
      <c r="C1322" s="130"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31"/>
      <c r="E1322" s="131"/>
      <c r="F1322" s="131"/>
      <c r="G1322" s="131"/>
      <c r="H1322" s="131"/>
      <c r="I1322" s="131"/>
      <c r="J1322" s="131"/>
      <c r="K1322" s="131"/>
      <c r="L1322" s="131"/>
      <c r="M1322" s="131"/>
      <c r="N1322" s="131"/>
      <c r="O1322" s="131"/>
      <c r="P1322" s="131"/>
      <c r="Q1322" s="131"/>
      <c r="R1322" s="131"/>
      <c r="S1322" s="131"/>
      <c r="T1322" s="131"/>
      <c r="U1322" s="132"/>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19" t="s">
        <v>3432</v>
      </c>
      <c r="D1324" s="120"/>
      <c r="E1324" s="125" t="s">
        <v>162</v>
      </c>
      <c r="H1324" s="36"/>
      <c r="I1324" s="36"/>
      <c r="J1324" s="36"/>
      <c r="K1324" s="36"/>
      <c r="L1324" s="36"/>
      <c r="M1324" s="36"/>
      <c r="N1324" s="36"/>
      <c r="O1324" s="36"/>
      <c r="P1324" s="36"/>
      <c r="Q1324" s="36"/>
      <c r="R1324" s="133" t="str">
        <f>"バックアップ_"&amp;SUBSTITUTE(C1324,"_結合","")</f>
        <v>バックアップ_DPCレセプト_診療行為レコード_算定日情報</v>
      </c>
      <c r="S1324" s="134"/>
      <c r="T1324" s="123" t="str">
        <f>エンティティ一覧!$O$2</f>
        <v>milscm_2023_009</v>
      </c>
    </row>
    <row r="1325" spans="2:23" ht="18.75" customHeight="1">
      <c r="C1325" s="121"/>
      <c r="D1325" s="122"/>
      <c r="E1325" s="126"/>
      <c r="F1325" s="37"/>
      <c r="G1325" s="38"/>
      <c r="H1325" s="37"/>
      <c r="I1325" s="37"/>
      <c r="J1325" s="37"/>
      <c r="K1325" s="37"/>
      <c r="L1325" s="37"/>
      <c r="M1325" s="37"/>
      <c r="N1325" s="37"/>
      <c r="O1325" s="37"/>
      <c r="P1325" s="37"/>
      <c r="Q1325" s="37"/>
      <c r="R1325" s="135"/>
      <c r="S1325" s="136"/>
      <c r="T1325" s="124"/>
    </row>
    <row r="1326" spans="2:23" ht="18.75" customHeight="1">
      <c r="F1326" s="39"/>
      <c r="G1326" s="40"/>
    </row>
    <row r="1327" spans="2:23" ht="18.75" customHeight="1">
      <c r="C1327" s="119" t="s">
        <v>3183</v>
      </c>
      <c r="D1327" s="120"/>
      <c r="E1327" s="123" t="str">
        <f>エンティティ一覧!$O$2</f>
        <v>milscm_2023_009</v>
      </c>
      <c r="G1327" s="41"/>
    </row>
    <row r="1328" spans="2:23" ht="18.75" customHeight="1">
      <c r="C1328" s="121"/>
      <c r="D1328" s="122"/>
      <c r="E1328" s="124"/>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3433</v>
      </c>
      <c r="D1332" s="88"/>
      <c r="W1332" s="35" t="str">
        <f>"-- "&amp;B1332&amp;" : "&amp;C1332</f>
        <v>-- SQL_ID : 01_C3-18</v>
      </c>
    </row>
    <row r="1333" spans="2:23" ht="18.75" customHeight="1">
      <c r="B1333" s="43" t="s">
        <v>158</v>
      </c>
      <c r="C1333" s="127" t="str">
        <f>R1336&amp;"登録"</f>
        <v>バックアップ_DPCレセプト_医薬品レコード登録</v>
      </c>
      <c r="D1333" s="128"/>
      <c r="E1333" s="128"/>
      <c r="F1333" s="128"/>
      <c r="G1333" s="128"/>
      <c r="H1333" s="128"/>
      <c r="I1333" s="128"/>
      <c r="J1333" s="128"/>
      <c r="K1333" s="128"/>
      <c r="L1333" s="128"/>
      <c r="M1333" s="128"/>
      <c r="N1333" s="128"/>
      <c r="O1333" s="128"/>
      <c r="P1333" s="128"/>
      <c r="Q1333" s="128"/>
      <c r="R1333" s="128"/>
      <c r="S1333" s="128"/>
      <c r="T1333" s="128"/>
      <c r="U1333" s="129"/>
      <c r="W1333" s="35" t="str">
        <f>"-- "&amp;C1333</f>
        <v>-- バックアップ_DPCレセプト_医薬品レコード登録</v>
      </c>
    </row>
    <row r="1334" spans="2:23" ht="18.75" customHeight="1">
      <c r="B1334" s="43" t="s">
        <v>159</v>
      </c>
      <c r="C1334" s="130"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31"/>
      <c r="E1334" s="131"/>
      <c r="F1334" s="131"/>
      <c r="G1334" s="131"/>
      <c r="H1334" s="131"/>
      <c r="I1334" s="131"/>
      <c r="J1334" s="131"/>
      <c r="K1334" s="131"/>
      <c r="L1334" s="131"/>
      <c r="M1334" s="131"/>
      <c r="N1334" s="131"/>
      <c r="O1334" s="131"/>
      <c r="P1334" s="131"/>
      <c r="Q1334" s="131"/>
      <c r="R1334" s="131"/>
      <c r="S1334" s="131"/>
      <c r="T1334" s="131"/>
      <c r="U1334" s="132"/>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19" t="s">
        <v>3434</v>
      </c>
      <c r="D1336" s="120"/>
      <c r="E1336" s="125" t="s">
        <v>162</v>
      </c>
      <c r="H1336" s="36"/>
      <c r="I1336" s="36"/>
      <c r="J1336" s="36"/>
      <c r="K1336" s="36"/>
      <c r="L1336" s="36"/>
      <c r="M1336" s="36"/>
      <c r="N1336" s="36"/>
      <c r="O1336" s="36"/>
      <c r="P1336" s="36"/>
      <c r="Q1336" s="36"/>
      <c r="R1336" s="119" t="str">
        <f>"バックアップ_"&amp;SUBSTITUTE(C1336,"_結合","")</f>
        <v>バックアップ_DPCレセプト_医薬品レコード</v>
      </c>
      <c r="S1336" s="120"/>
      <c r="T1336" s="123" t="str">
        <f>エンティティ一覧!$O$2</f>
        <v>milscm_2023_009</v>
      </c>
    </row>
    <row r="1337" spans="2:23" ht="18.75" customHeight="1">
      <c r="C1337" s="121"/>
      <c r="D1337" s="122"/>
      <c r="E1337" s="126"/>
      <c r="F1337" s="37"/>
      <c r="G1337" s="38"/>
      <c r="H1337" s="37"/>
      <c r="I1337" s="37"/>
      <c r="J1337" s="37"/>
      <c r="K1337" s="37"/>
      <c r="L1337" s="37"/>
      <c r="M1337" s="37"/>
      <c r="N1337" s="37"/>
      <c r="O1337" s="37"/>
      <c r="P1337" s="37"/>
      <c r="Q1337" s="37"/>
      <c r="R1337" s="121"/>
      <c r="S1337" s="122"/>
      <c r="T1337" s="124"/>
    </row>
    <row r="1338" spans="2:23" ht="18.75" customHeight="1">
      <c r="F1338" s="39"/>
      <c r="G1338" s="40"/>
    </row>
    <row r="1339" spans="2:23" ht="18.75" customHeight="1">
      <c r="C1339" s="119" t="s">
        <v>3183</v>
      </c>
      <c r="D1339" s="120"/>
      <c r="E1339" s="123" t="str">
        <f>エンティティ一覧!$O$2</f>
        <v>milscm_2023_009</v>
      </c>
      <c r="G1339" s="41"/>
    </row>
    <row r="1340" spans="2:23" ht="18.75" customHeight="1">
      <c r="C1340" s="121"/>
      <c r="D1340" s="122"/>
      <c r="E1340" s="124"/>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3435</v>
      </c>
      <c r="D1344" s="88"/>
      <c r="W1344" s="35" t="str">
        <f>"-- "&amp;B1344&amp;" : "&amp;C1344</f>
        <v>-- SQL_ID : 01_C3-19</v>
      </c>
    </row>
    <row r="1345" spans="2:23" ht="18.75" customHeight="1">
      <c r="B1345" s="43" t="s">
        <v>158</v>
      </c>
      <c r="C1345" s="127" t="str">
        <f>R1348&amp;"登録"</f>
        <v>バックアップ_DPCレセプト_医薬品レコード_算定日情報登録</v>
      </c>
      <c r="D1345" s="128"/>
      <c r="E1345" s="128"/>
      <c r="F1345" s="128"/>
      <c r="G1345" s="128"/>
      <c r="H1345" s="128"/>
      <c r="I1345" s="128"/>
      <c r="J1345" s="128"/>
      <c r="K1345" s="128"/>
      <c r="L1345" s="128"/>
      <c r="M1345" s="128"/>
      <c r="N1345" s="128"/>
      <c r="O1345" s="128"/>
      <c r="P1345" s="128"/>
      <c r="Q1345" s="128"/>
      <c r="R1345" s="128"/>
      <c r="S1345" s="128"/>
      <c r="T1345" s="128"/>
      <c r="U1345" s="129"/>
      <c r="W1345" s="35" t="str">
        <f>"-- "&amp;C1345</f>
        <v>-- バックアップ_DPCレセプト_医薬品レコード_算定日情報登録</v>
      </c>
    </row>
    <row r="1346" spans="2:23" ht="18.75" customHeight="1">
      <c r="B1346" s="43" t="s">
        <v>159</v>
      </c>
      <c r="C1346" s="130"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31"/>
      <c r="E1346" s="131"/>
      <c r="F1346" s="131"/>
      <c r="G1346" s="131"/>
      <c r="H1346" s="131"/>
      <c r="I1346" s="131"/>
      <c r="J1346" s="131"/>
      <c r="K1346" s="131"/>
      <c r="L1346" s="131"/>
      <c r="M1346" s="131"/>
      <c r="N1346" s="131"/>
      <c r="O1346" s="131"/>
      <c r="P1346" s="131"/>
      <c r="Q1346" s="131"/>
      <c r="R1346" s="131"/>
      <c r="S1346" s="131"/>
      <c r="T1346" s="131"/>
      <c r="U1346" s="132"/>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19" t="s">
        <v>3436</v>
      </c>
      <c r="D1348" s="120"/>
      <c r="E1348" s="125" t="s">
        <v>162</v>
      </c>
      <c r="H1348" s="36"/>
      <c r="I1348" s="36"/>
      <c r="J1348" s="36"/>
      <c r="K1348" s="36"/>
      <c r="L1348" s="36"/>
      <c r="M1348" s="36"/>
      <c r="N1348" s="36"/>
      <c r="O1348" s="36"/>
      <c r="P1348" s="36"/>
      <c r="Q1348" s="36"/>
      <c r="R1348" s="133" t="str">
        <f>"バックアップ_"&amp;SUBSTITUTE(C1348,"_結合","")</f>
        <v>バックアップ_DPCレセプト_医薬品レコード_算定日情報</v>
      </c>
      <c r="S1348" s="134"/>
      <c r="T1348" s="123" t="str">
        <f>エンティティ一覧!$O$2</f>
        <v>milscm_2023_009</v>
      </c>
    </row>
    <row r="1349" spans="2:23" ht="18.75" customHeight="1">
      <c r="C1349" s="121"/>
      <c r="D1349" s="122"/>
      <c r="E1349" s="126"/>
      <c r="F1349" s="37"/>
      <c r="G1349" s="38"/>
      <c r="H1349" s="37"/>
      <c r="I1349" s="37"/>
      <c r="J1349" s="37"/>
      <c r="K1349" s="37"/>
      <c r="L1349" s="37"/>
      <c r="M1349" s="37"/>
      <c r="N1349" s="37"/>
      <c r="O1349" s="37"/>
      <c r="P1349" s="37"/>
      <c r="Q1349" s="37"/>
      <c r="R1349" s="135"/>
      <c r="S1349" s="136"/>
      <c r="T1349" s="124"/>
    </row>
    <row r="1350" spans="2:23" ht="18.75" customHeight="1">
      <c r="F1350" s="39"/>
      <c r="G1350" s="40"/>
    </row>
    <row r="1351" spans="2:23" ht="18.75" customHeight="1">
      <c r="C1351" s="119" t="s">
        <v>3183</v>
      </c>
      <c r="D1351" s="120"/>
      <c r="E1351" s="123" t="str">
        <f>エンティティ一覧!$O$2</f>
        <v>milscm_2023_009</v>
      </c>
      <c r="G1351" s="41"/>
    </row>
    <row r="1352" spans="2:23" ht="18.75" customHeight="1">
      <c r="C1352" s="121"/>
      <c r="D1352" s="122"/>
      <c r="E1352" s="124"/>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3437</v>
      </c>
      <c r="D1356" s="88"/>
      <c r="W1356" s="35" t="str">
        <f>"-- "&amp;B1356&amp;" : "&amp;C1356</f>
        <v>-- SQL_ID : 01_C3-24</v>
      </c>
    </row>
    <row r="1357" spans="2:23" ht="18.75" customHeight="1">
      <c r="B1357" s="43" t="s">
        <v>158</v>
      </c>
      <c r="C1357" s="127" t="str">
        <f>R1360&amp;"登録"</f>
        <v>バックアップ_DPCレセプト_臓器提供者レセプト情報レコード登録</v>
      </c>
      <c r="D1357" s="128"/>
      <c r="E1357" s="128"/>
      <c r="F1357" s="128"/>
      <c r="G1357" s="128"/>
      <c r="H1357" s="128"/>
      <c r="I1357" s="128"/>
      <c r="J1357" s="128"/>
      <c r="K1357" s="128"/>
      <c r="L1357" s="128"/>
      <c r="M1357" s="128"/>
      <c r="N1357" s="128"/>
      <c r="O1357" s="128"/>
      <c r="P1357" s="128"/>
      <c r="Q1357" s="128"/>
      <c r="R1357" s="128"/>
      <c r="S1357" s="128"/>
      <c r="T1357" s="128"/>
      <c r="U1357" s="129"/>
      <c r="W1357" s="35" t="str">
        <f>"-- "&amp;C1357</f>
        <v>-- バックアップ_DPCレセプト_臓器提供者レセプト情報レコード登録</v>
      </c>
    </row>
    <row r="1358" spans="2:23" ht="18.75" customHeight="1">
      <c r="B1358" s="43" t="s">
        <v>159</v>
      </c>
      <c r="C1358" s="130"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31"/>
      <c r="E1358" s="131"/>
      <c r="F1358" s="131"/>
      <c r="G1358" s="131"/>
      <c r="H1358" s="131"/>
      <c r="I1358" s="131"/>
      <c r="J1358" s="131"/>
      <c r="K1358" s="131"/>
      <c r="L1358" s="131"/>
      <c r="M1358" s="131"/>
      <c r="N1358" s="131"/>
      <c r="O1358" s="131"/>
      <c r="P1358" s="131"/>
      <c r="Q1358" s="131"/>
      <c r="R1358" s="131"/>
      <c r="S1358" s="131"/>
      <c r="T1358" s="131"/>
      <c r="U1358" s="132"/>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19" t="s">
        <v>3438</v>
      </c>
      <c r="D1360" s="120"/>
      <c r="E1360" s="125" t="s">
        <v>162</v>
      </c>
      <c r="H1360" s="36"/>
      <c r="I1360" s="36"/>
      <c r="J1360" s="36"/>
      <c r="K1360" s="36"/>
      <c r="L1360" s="36"/>
      <c r="M1360" s="36"/>
      <c r="N1360" s="36"/>
      <c r="O1360" s="36"/>
      <c r="P1360" s="36"/>
      <c r="Q1360" s="36"/>
      <c r="R1360" s="137" t="str">
        <f>"バックアップ_"&amp;SUBSTITUTE(C1360,"_結合","")</f>
        <v>バックアップ_DPCレセプト_臓器提供者レセプト情報レコード</v>
      </c>
      <c r="S1360" s="138"/>
      <c r="T1360" s="123" t="str">
        <f>エンティティ一覧!$O$2</f>
        <v>milscm_2023_009</v>
      </c>
    </row>
    <row r="1361" spans="2:23" ht="18.75" customHeight="1">
      <c r="C1361" s="121"/>
      <c r="D1361" s="122"/>
      <c r="E1361" s="126"/>
      <c r="F1361" s="37"/>
      <c r="G1361" s="38"/>
      <c r="H1361" s="37"/>
      <c r="I1361" s="37"/>
      <c r="J1361" s="37"/>
      <c r="K1361" s="37"/>
      <c r="L1361" s="37"/>
      <c r="M1361" s="37"/>
      <c r="N1361" s="37"/>
      <c r="O1361" s="37"/>
      <c r="P1361" s="37"/>
      <c r="Q1361" s="37"/>
      <c r="R1361" s="139"/>
      <c r="S1361" s="140"/>
      <c r="T1361" s="124"/>
    </row>
    <row r="1362" spans="2:23" ht="18.75" customHeight="1">
      <c r="F1362" s="39"/>
      <c r="G1362" s="40"/>
    </row>
    <row r="1363" spans="2:23" ht="18.75" customHeight="1">
      <c r="C1363" s="119" t="s">
        <v>3183</v>
      </c>
      <c r="D1363" s="120"/>
      <c r="E1363" s="123" t="str">
        <f>エンティティ一覧!$O$2</f>
        <v>milscm_2023_009</v>
      </c>
      <c r="G1363" s="41"/>
    </row>
    <row r="1364" spans="2:23" ht="18.75" customHeight="1">
      <c r="C1364" s="121"/>
      <c r="D1364" s="122"/>
      <c r="E1364" s="124"/>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3439</v>
      </c>
      <c r="D1368" s="88"/>
      <c r="W1368" s="35" t="str">
        <f>"-- "&amp;B1368&amp;" : "&amp;C1368</f>
        <v>-- SQL_ID : 01_C4-01</v>
      </c>
    </row>
    <row r="1369" spans="2:23" ht="18.75" customHeight="1">
      <c r="B1369" s="43" t="s">
        <v>158</v>
      </c>
      <c r="C1369" s="127" t="str">
        <f>R1372&amp;"登録"</f>
        <v>バックアップ_患者情報モジュール_患者情報登録</v>
      </c>
      <c r="D1369" s="128"/>
      <c r="E1369" s="128"/>
      <c r="F1369" s="128"/>
      <c r="G1369" s="128"/>
      <c r="H1369" s="128"/>
      <c r="I1369" s="128"/>
      <c r="J1369" s="128"/>
      <c r="K1369" s="128"/>
      <c r="L1369" s="128"/>
      <c r="M1369" s="128"/>
      <c r="N1369" s="128"/>
      <c r="O1369" s="128"/>
      <c r="P1369" s="128"/>
      <c r="Q1369" s="128"/>
      <c r="R1369" s="128"/>
      <c r="S1369" s="128"/>
      <c r="T1369" s="128"/>
      <c r="U1369" s="129"/>
      <c r="W1369" s="35" t="str">
        <f>"-- "&amp;C1369</f>
        <v>-- バックアップ_患者情報モジュール_患者情報登録</v>
      </c>
    </row>
    <row r="1370" spans="2:23" ht="18.75" customHeight="1">
      <c r="B1370" s="43" t="s">
        <v>159</v>
      </c>
      <c r="C1370" s="130"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31"/>
      <c r="E1370" s="131"/>
      <c r="F1370" s="131"/>
      <c r="G1370" s="131"/>
      <c r="H1370" s="131"/>
      <c r="I1370" s="131"/>
      <c r="J1370" s="131"/>
      <c r="K1370" s="131"/>
      <c r="L1370" s="131"/>
      <c r="M1370" s="131"/>
      <c r="N1370" s="131"/>
      <c r="O1370" s="131"/>
      <c r="P1370" s="131"/>
      <c r="Q1370" s="131"/>
      <c r="R1370" s="131"/>
      <c r="S1370" s="131"/>
      <c r="T1370" s="131"/>
      <c r="U1370" s="132"/>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19" t="s">
        <v>3440</v>
      </c>
      <c r="D1372" s="120"/>
      <c r="E1372" s="125" t="s">
        <v>162</v>
      </c>
      <c r="H1372" s="36"/>
      <c r="I1372" s="36"/>
      <c r="J1372" s="36"/>
      <c r="K1372" s="36"/>
      <c r="L1372" s="36"/>
      <c r="M1372" s="36"/>
      <c r="N1372" s="36"/>
      <c r="O1372" s="36"/>
      <c r="P1372" s="36"/>
      <c r="Q1372" s="36"/>
      <c r="R1372" s="119" t="str">
        <f>"バックアップ_"&amp;SUBSTITUTE(C1372,"_結合","")</f>
        <v>バックアップ_患者情報モジュール_患者情報</v>
      </c>
      <c r="S1372" s="120"/>
      <c r="T1372" s="123" t="str">
        <f>エンティティ一覧!$O$2</f>
        <v>milscm_2023_009</v>
      </c>
    </row>
    <row r="1373" spans="2:23" ht="18.75" customHeight="1">
      <c r="C1373" s="121"/>
      <c r="D1373" s="122"/>
      <c r="E1373" s="126"/>
      <c r="F1373" s="37"/>
      <c r="G1373" s="38"/>
      <c r="H1373" s="37"/>
      <c r="I1373" s="37"/>
      <c r="J1373" s="37"/>
      <c r="K1373" s="37"/>
      <c r="L1373" s="37"/>
      <c r="M1373" s="37"/>
      <c r="N1373" s="37"/>
      <c r="O1373" s="37"/>
      <c r="P1373" s="37"/>
      <c r="Q1373" s="37"/>
      <c r="R1373" s="121"/>
      <c r="S1373" s="122"/>
      <c r="T1373" s="124"/>
    </row>
    <row r="1374" spans="2:23" ht="18.75" customHeight="1">
      <c r="F1374" s="39"/>
      <c r="G1374" s="40"/>
    </row>
    <row r="1375" spans="2:23" ht="18.75" customHeight="1">
      <c r="C1375" s="119" t="s">
        <v>3183</v>
      </c>
      <c r="D1375" s="120"/>
      <c r="E1375" s="123" t="str">
        <f>エンティティ一覧!$O$2</f>
        <v>milscm_2023_009</v>
      </c>
      <c r="G1375" s="41"/>
    </row>
    <row r="1376" spans="2:23" ht="18.75" customHeight="1">
      <c r="C1376" s="121"/>
      <c r="D1376" s="122"/>
      <c r="E1376" s="124"/>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3441</v>
      </c>
      <c r="D1380" s="88"/>
      <c r="W1380" s="35" t="str">
        <f>"-- "&amp;B1380&amp;" : "&amp;C1380</f>
        <v>-- SQL_ID : 01_C4-03</v>
      </c>
    </row>
    <row r="1381" spans="2:23" ht="18.75" customHeight="1">
      <c r="B1381" s="43" t="s">
        <v>158</v>
      </c>
      <c r="C1381" s="127" t="str">
        <f>R1384&amp;"登録"</f>
        <v>バックアップ_診断履歴情報モジュール_診断履歴情報レコード登録</v>
      </c>
      <c r="D1381" s="128"/>
      <c r="E1381" s="128"/>
      <c r="F1381" s="128"/>
      <c r="G1381" s="128"/>
      <c r="H1381" s="128"/>
      <c r="I1381" s="128"/>
      <c r="J1381" s="128"/>
      <c r="K1381" s="128"/>
      <c r="L1381" s="128"/>
      <c r="M1381" s="128"/>
      <c r="N1381" s="128"/>
      <c r="O1381" s="128"/>
      <c r="P1381" s="128"/>
      <c r="Q1381" s="128"/>
      <c r="R1381" s="128"/>
      <c r="S1381" s="128"/>
      <c r="T1381" s="128"/>
      <c r="U1381" s="129"/>
      <c r="W1381" s="35" t="str">
        <f>"-- "&amp;C1381</f>
        <v>-- バックアップ_診断履歴情報モジュール_診断履歴情報レコード登録</v>
      </c>
    </row>
    <row r="1382" spans="2:23" ht="18.75" customHeight="1">
      <c r="B1382" s="43" t="s">
        <v>159</v>
      </c>
      <c r="C1382" s="130"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31"/>
      <c r="E1382" s="131"/>
      <c r="F1382" s="131"/>
      <c r="G1382" s="131"/>
      <c r="H1382" s="131"/>
      <c r="I1382" s="131"/>
      <c r="J1382" s="131"/>
      <c r="K1382" s="131"/>
      <c r="L1382" s="131"/>
      <c r="M1382" s="131"/>
      <c r="N1382" s="131"/>
      <c r="O1382" s="131"/>
      <c r="P1382" s="131"/>
      <c r="Q1382" s="131"/>
      <c r="R1382" s="131"/>
      <c r="S1382" s="131"/>
      <c r="T1382" s="131"/>
      <c r="U1382" s="132"/>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19" t="s">
        <v>3442</v>
      </c>
      <c r="D1384" s="120"/>
      <c r="E1384" s="125" t="s">
        <v>162</v>
      </c>
      <c r="H1384" s="36"/>
      <c r="I1384" s="36"/>
      <c r="J1384" s="36"/>
      <c r="K1384" s="36"/>
      <c r="L1384" s="36"/>
      <c r="M1384" s="36"/>
      <c r="N1384" s="36"/>
      <c r="O1384" s="36"/>
      <c r="P1384" s="36"/>
      <c r="Q1384" s="36"/>
      <c r="R1384" s="137" t="str">
        <f>"バックアップ_"&amp;SUBSTITUTE(C1384,"_結合","")</f>
        <v>バックアップ_診断履歴情報モジュール_診断履歴情報レコード</v>
      </c>
      <c r="S1384" s="138"/>
      <c r="T1384" s="123" t="str">
        <f>エンティティ一覧!$O$2</f>
        <v>milscm_2023_009</v>
      </c>
    </row>
    <row r="1385" spans="2:23" ht="18.75" customHeight="1">
      <c r="C1385" s="121"/>
      <c r="D1385" s="122"/>
      <c r="E1385" s="126"/>
      <c r="F1385" s="37"/>
      <c r="G1385" s="38"/>
      <c r="H1385" s="37"/>
      <c r="I1385" s="37"/>
      <c r="J1385" s="37"/>
      <c r="K1385" s="37"/>
      <c r="L1385" s="37"/>
      <c r="M1385" s="37"/>
      <c r="N1385" s="37"/>
      <c r="O1385" s="37"/>
      <c r="P1385" s="37"/>
      <c r="Q1385" s="37"/>
      <c r="R1385" s="139"/>
      <c r="S1385" s="140"/>
      <c r="T1385" s="124"/>
    </row>
    <row r="1386" spans="2:23" ht="18.75" customHeight="1">
      <c r="F1386" s="39"/>
      <c r="G1386" s="40"/>
    </row>
    <row r="1387" spans="2:23" ht="18.75" customHeight="1">
      <c r="C1387" s="119" t="s">
        <v>3183</v>
      </c>
      <c r="D1387" s="120"/>
      <c r="E1387" s="123" t="str">
        <f>エンティティ一覧!$O$2</f>
        <v>milscm_2023_009</v>
      </c>
      <c r="G1387" s="41"/>
    </row>
    <row r="1388" spans="2:23" ht="18.75" customHeight="1">
      <c r="C1388" s="121"/>
      <c r="D1388" s="122"/>
      <c r="E1388" s="124"/>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3443</v>
      </c>
      <c r="D1392" s="88"/>
      <c r="W1392" s="35" t="str">
        <f>"-- "&amp;B1392&amp;" : "&amp;C1392</f>
        <v>-- SQL_ID : 01_C4-04</v>
      </c>
    </row>
    <row r="1393" spans="2:23" ht="18.75" customHeight="1">
      <c r="B1393" s="43" t="s">
        <v>158</v>
      </c>
      <c r="C1393" s="127" t="str">
        <f>R1396&amp;"登録"</f>
        <v>バックアップ_診断履歴情報モジュール_診断病名レコード登録</v>
      </c>
      <c r="D1393" s="128"/>
      <c r="E1393" s="128"/>
      <c r="F1393" s="128"/>
      <c r="G1393" s="128"/>
      <c r="H1393" s="128"/>
      <c r="I1393" s="128"/>
      <c r="J1393" s="128"/>
      <c r="K1393" s="128"/>
      <c r="L1393" s="128"/>
      <c r="M1393" s="128"/>
      <c r="N1393" s="128"/>
      <c r="O1393" s="128"/>
      <c r="P1393" s="128"/>
      <c r="Q1393" s="128"/>
      <c r="R1393" s="128"/>
      <c r="S1393" s="128"/>
      <c r="T1393" s="128"/>
      <c r="U1393" s="129"/>
      <c r="W1393" s="35" t="str">
        <f>"-- "&amp;C1393</f>
        <v>-- バックアップ_診断履歴情報モジュール_診断病名レコード登録</v>
      </c>
    </row>
    <row r="1394" spans="2:23" ht="18.75" customHeight="1">
      <c r="B1394" s="43" t="s">
        <v>159</v>
      </c>
      <c r="C1394" s="130"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31"/>
      <c r="E1394" s="131"/>
      <c r="F1394" s="131"/>
      <c r="G1394" s="131"/>
      <c r="H1394" s="131"/>
      <c r="I1394" s="131"/>
      <c r="J1394" s="131"/>
      <c r="K1394" s="131"/>
      <c r="L1394" s="131"/>
      <c r="M1394" s="131"/>
      <c r="N1394" s="131"/>
      <c r="O1394" s="131"/>
      <c r="P1394" s="131"/>
      <c r="Q1394" s="131"/>
      <c r="R1394" s="131"/>
      <c r="S1394" s="131"/>
      <c r="T1394" s="131"/>
      <c r="U1394" s="132"/>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19" t="s">
        <v>3444</v>
      </c>
      <c r="D1396" s="120"/>
      <c r="E1396" s="125" t="s">
        <v>162</v>
      </c>
      <c r="H1396" s="36"/>
      <c r="I1396" s="36"/>
      <c r="J1396" s="36"/>
      <c r="K1396" s="36"/>
      <c r="L1396" s="36"/>
      <c r="M1396" s="36"/>
      <c r="N1396" s="36"/>
      <c r="O1396" s="36"/>
      <c r="P1396" s="36"/>
      <c r="Q1396" s="36"/>
      <c r="R1396" s="137" t="str">
        <f>"バックアップ_"&amp;SUBSTITUTE(C1396,"_結合","")</f>
        <v>バックアップ_診断履歴情報モジュール_診断病名レコード</v>
      </c>
      <c r="S1396" s="138"/>
      <c r="T1396" s="123" t="str">
        <f>エンティティ一覧!$O$2</f>
        <v>milscm_2023_009</v>
      </c>
    </row>
    <row r="1397" spans="2:23" ht="18.75" customHeight="1">
      <c r="C1397" s="121"/>
      <c r="D1397" s="122"/>
      <c r="E1397" s="126"/>
      <c r="F1397" s="37"/>
      <c r="G1397" s="38"/>
      <c r="H1397" s="37"/>
      <c r="I1397" s="37"/>
      <c r="J1397" s="37"/>
      <c r="K1397" s="37"/>
      <c r="L1397" s="37"/>
      <c r="M1397" s="37"/>
      <c r="N1397" s="37"/>
      <c r="O1397" s="37"/>
      <c r="P1397" s="37"/>
      <c r="Q1397" s="37"/>
      <c r="R1397" s="139"/>
      <c r="S1397" s="140"/>
      <c r="T1397" s="124"/>
    </row>
    <row r="1398" spans="2:23" ht="18.75" customHeight="1">
      <c r="F1398" s="39"/>
      <c r="G1398" s="40"/>
    </row>
    <row r="1399" spans="2:23" ht="18.75" customHeight="1">
      <c r="C1399" s="119" t="s">
        <v>3183</v>
      </c>
      <c r="D1399" s="120"/>
      <c r="E1399" s="123" t="str">
        <f>エンティティ一覧!$O$2</f>
        <v>milscm_2023_009</v>
      </c>
      <c r="G1399" s="41"/>
    </row>
    <row r="1400" spans="2:23" ht="18.75" customHeight="1">
      <c r="C1400" s="121"/>
      <c r="D1400" s="122"/>
      <c r="E1400" s="124"/>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3445</v>
      </c>
      <c r="D1404" s="88"/>
      <c r="W1404" s="35" t="str">
        <f>"-- "&amp;B1404&amp;" : "&amp;C1404</f>
        <v>-- SQL_ID : 01_C4-05</v>
      </c>
    </row>
    <row r="1405" spans="2:23" ht="18.75" customHeight="1">
      <c r="B1405" s="43" t="s">
        <v>158</v>
      </c>
      <c r="C1405" s="127" t="str">
        <f>R1408&amp;"登録"</f>
        <v>バックアップ_診断履歴情報モジュール_診断分類レコード登録</v>
      </c>
      <c r="D1405" s="128"/>
      <c r="E1405" s="128"/>
      <c r="F1405" s="128"/>
      <c r="G1405" s="128"/>
      <c r="H1405" s="128"/>
      <c r="I1405" s="128"/>
      <c r="J1405" s="128"/>
      <c r="K1405" s="128"/>
      <c r="L1405" s="128"/>
      <c r="M1405" s="128"/>
      <c r="N1405" s="128"/>
      <c r="O1405" s="128"/>
      <c r="P1405" s="128"/>
      <c r="Q1405" s="128"/>
      <c r="R1405" s="128"/>
      <c r="S1405" s="128"/>
      <c r="T1405" s="128"/>
      <c r="U1405" s="129"/>
      <c r="W1405" s="35" t="str">
        <f>"-- "&amp;C1405</f>
        <v>-- バックアップ_診断履歴情報モジュール_診断分類レコード登録</v>
      </c>
    </row>
    <row r="1406" spans="2:23" ht="18.75" customHeight="1">
      <c r="B1406" s="43" t="s">
        <v>159</v>
      </c>
      <c r="C1406" s="130"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31"/>
      <c r="E1406" s="131"/>
      <c r="F1406" s="131"/>
      <c r="G1406" s="131"/>
      <c r="H1406" s="131"/>
      <c r="I1406" s="131"/>
      <c r="J1406" s="131"/>
      <c r="K1406" s="131"/>
      <c r="L1406" s="131"/>
      <c r="M1406" s="131"/>
      <c r="N1406" s="131"/>
      <c r="O1406" s="131"/>
      <c r="P1406" s="131"/>
      <c r="Q1406" s="131"/>
      <c r="R1406" s="131"/>
      <c r="S1406" s="131"/>
      <c r="T1406" s="131"/>
      <c r="U1406" s="132"/>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19" t="s">
        <v>3446</v>
      </c>
      <c r="D1408" s="120"/>
      <c r="E1408" s="125" t="s">
        <v>162</v>
      </c>
      <c r="H1408" s="36"/>
      <c r="I1408" s="36"/>
      <c r="J1408" s="36"/>
      <c r="K1408" s="36"/>
      <c r="L1408" s="36"/>
      <c r="M1408" s="36"/>
      <c r="N1408" s="36"/>
      <c r="O1408" s="36"/>
      <c r="P1408" s="36"/>
      <c r="Q1408" s="36"/>
      <c r="R1408" s="137" t="str">
        <f>"バックアップ_"&amp;SUBSTITUTE(C1408,"_結合","")</f>
        <v>バックアップ_診断履歴情報モジュール_診断分類レコード</v>
      </c>
      <c r="S1408" s="138"/>
      <c r="T1408" s="123" t="str">
        <f>エンティティ一覧!$O$2</f>
        <v>milscm_2023_009</v>
      </c>
    </row>
    <row r="1409" spans="2:23" ht="18.75" customHeight="1">
      <c r="C1409" s="121"/>
      <c r="D1409" s="122"/>
      <c r="E1409" s="126"/>
      <c r="F1409" s="37"/>
      <c r="G1409" s="38"/>
      <c r="H1409" s="37"/>
      <c r="I1409" s="37"/>
      <c r="J1409" s="37"/>
      <c r="K1409" s="37"/>
      <c r="L1409" s="37"/>
      <c r="M1409" s="37"/>
      <c r="N1409" s="37"/>
      <c r="O1409" s="37"/>
      <c r="P1409" s="37"/>
      <c r="Q1409" s="37"/>
      <c r="R1409" s="139"/>
      <c r="S1409" s="140"/>
      <c r="T1409" s="124"/>
    </row>
    <row r="1410" spans="2:23" ht="18.75" customHeight="1">
      <c r="F1410" s="39"/>
      <c r="G1410" s="40"/>
    </row>
    <row r="1411" spans="2:23" ht="18.75" customHeight="1">
      <c r="C1411" s="119" t="s">
        <v>3183</v>
      </c>
      <c r="D1411" s="120"/>
      <c r="E1411" s="123" t="str">
        <f>エンティティ一覧!$O$2</f>
        <v>milscm_2023_009</v>
      </c>
      <c r="G1411" s="41"/>
    </row>
    <row r="1412" spans="2:23" ht="18.75" customHeight="1">
      <c r="C1412" s="121"/>
      <c r="D1412" s="122"/>
      <c r="E1412" s="124"/>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3447</v>
      </c>
      <c r="D1416" s="88"/>
      <c r="W1416" s="35" t="str">
        <f>"-- "&amp;B1416&amp;" : "&amp;C1416</f>
        <v>-- SQL_ID : 01_C4-06</v>
      </c>
    </row>
    <row r="1417" spans="2:23" ht="18.75" customHeight="1">
      <c r="B1417" s="43" t="s">
        <v>158</v>
      </c>
      <c r="C1417" s="127" t="str">
        <f>R1420&amp;"登録"</f>
        <v>バックアップ_経過記録情報モジュール_経過記録情報レコード登録</v>
      </c>
      <c r="D1417" s="128"/>
      <c r="E1417" s="128"/>
      <c r="F1417" s="128"/>
      <c r="G1417" s="128"/>
      <c r="H1417" s="128"/>
      <c r="I1417" s="128"/>
      <c r="J1417" s="128"/>
      <c r="K1417" s="128"/>
      <c r="L1417" s="128"/>
      <c r="M1417" s="128"/>
      <c r="N1417" s="128"/>
      <c r="O1417" s="128"/>
      <c r="P1417" s="128"/>
      <c r="Q1417" s="128"/>
      <c r="R1417" s="128"/>
      <c r="S1417" s="128"/>
      <c r="T1417" s="128"/>
      <c r="U1417" s="129"/>
      <c r="W1417" s="35" t="str">
        <f>"-- "&amp;C1417</f>
        <v>-- バックアップ_経過記録情報モジュール_経過記録情報レコード登録</v>
      </c>
    </row>
    <row r="1418" spans="2:23" ht="18.75" customHeight="1">
      <c r="B1418" s="43" t="s">
        <v>159</v>
      </c>
      <c r="C1418" s="130"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31"/>
      <c r="E1418" s="131"/>
      <c r="F1418" s="131"/>
      <c r="G1418" s="131"/>
      <c r="H1418" s="131"/>
      <c r="I1418" s="131"/>
      <c r="J1418" s="131"/>
      <c r="K1418" s="131"/>
      <c r="L1418" s="131"/>
      <c r="M1418" s="131"/>
      <c r="N1418" s="131"/>
      <c r="O1418" s="131"/>
      <c r="P1418" s="131"/>
      <c r="Q1418" s="131"/>
      <c r="R1418" s="131"/>
      <c r="S1418" s="131"/>
      <c r="T1418" s="131"/>
      <c r="U1418" s="132"/>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19" t="s">
        <v>3448</v>
      </c>
      <c r="D1420" s="120"/>
      <c r="E1420" s="125" t="s">
        <v>162</v>
      </c>
      <c r="H1420" s="36"/>
      <c r="I1420" s="36"/>
      <c r="J1420" s="36"/>
      <c r="K1420" s="36"/>
      <c r="L1420" s="36"/>
      <c r="M1420" s="36"/>
      <c r="N1420" s="36"/>
      <c r="O1420" s="36"/>
      <c r="P1420" s="36"/>
      <c r="Q1420" s="36"/>
      <c r="R1420" s="137" t="str">
        <f>"バックアップ_"&amp;SUBSTITUTE(C1420,"_結合","")</f>
        <v>バックアップ_経過記録情報モジュール_経過記録情報レコード</v>
      </c>
      <c r="S1420" s="138"/>
      <c r="T1420" s="123" t="str">
        <f>エンティティ一覧!$O$2</f>
        <v>milscm_2023_009</v>
      </c>
    </row>
    <row r="1421" spans="2:23" ht="18.75" customHeight="1">
      <c r="C1421" s="121"/>
      <c r="D1421" s="122"/>
      <c r="E1421" s="126"/>
      <c r="F1421" s="37"/>
      <c r="G1421" s="38"/>
      <c r="H1421" s="37"/>
      <c r="I1421" s="37"/>
      <c r="J1421" s="37"/>
      <c r="K1421" s="37"/>
      <c r="L1421" s="37"/>
      <c r="M1421" s="37"/>
      <c r="N1421" s="37"/>
      <c r="O1421" s="37"/>
      <c r="P1421" s="37"/>
      <c r="Q1421" s="37"/>
      <c r="R1421" s="139"/>
      <c r="S1421" s="140"/>
      <c r="T1421" s="124"/>
    </row>
    <row r="1422" spans="2:23" ht="18.75" customHeight="1">
      <c r="F1422" s="39"/>
      <c r="G1422" s="40"/>
    </row>
    <row r="1423" spans="2:23" ht="18.75" customHeight="1">
      <c r="C1423" s="119" t="s">
        <v>3183</v>
      </c>
      <c r="D1423" s="120"/>
      <c r="E1423" s="123" t="str">
        <f>エンティティ一覧!$O$2</f>
        <v>milscm_2023_009</v>
      </c>
      <c r="G1423" s="41"/>
    </row>
    <row r="1424" spans="2:23" ht="18.75" customHeight="1">
      <c r="C1424" s="121"/>
      <c r="D1424" s="122"/>
      <c r="E1424" s="124"/>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3449</v>
      </c>
      <c r="D1428" s="88"/>
      <c r="W1428" s="35" t="str">
        <f>"-- "&amp;B1428&amp;" : "&amp;C1428</f>
        <v>-- SQL_ID : 01_C4-07</v>
      </c>
    </row>
    <row r="1429" spans="2:23" ht="18.75" customHeight="1">
      <c r="B1429" s="43" t="s">
        <v>158</v>
      </c>
      <c r="C1429" s="127" t="str">
        <f>R1432&amp;"登録"</f>
        <v>バックアップ_経過記録情報モジュール_プロブレムレコード登録</v>
      </c>
      <c r="D1429" s="128"/>
      <c r="E1429" s="128"/>
      <c r="F1429" s="128"/>
      <c r="G1429" s="128"/>
      <c r="H1429" s="128"/>
      <c r="I1429" s="128"/>
      <c r="J1429" s="128"/>
      <c r="K1429" s="128"/>
      <c r="L1429" s="128"/>
      <c r="M1429" s="128"/>
      <c r="N1429" s="128"/>
      <c r="O1429" s="128"/>
      <c r="P1429" s="128"/>
      <c r="Q1429" s="128"/>
      <c r="R1429" s="128"/>
      <c r="S1429" s="128"/>
      <c r="T1429" s="128"/>
      <c r="U1429" s="129"/>
      <c r="W1429" s="35" t="str">
        <f>"-- "&amp;C1429</f>
        <v>-- バックアップ_経過記録情報モジュール_プロブレムレコード登録</v>
      </c>
    </row>
    <row r="1430" spans="2:23" ht="18.75" customHeight="1">
      <c r="B1430" s="43" t="s">
        <v>159</v>
      </c>
      <c r="C1430" s="130"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31"/>
      <c r="E1430" s="131"/>
      <c r="F1430" s="131"/>
      <c r="G1430" s="131"/>
      <c r="H1430" s="131"/>
      <c r="I1430" s="131"/>
      <c r="J1430" s="131"/>
      <c r="K1430" s="131"/>
      <c r="L1430" s="131"/>
      <c r="M1430" s="131"/>
      <c r="N1430" s="131"/>
      <c r="O1430" s="131"/>
      <c r="P1430" s="131"/>
      <c r="Q1430" s="131"/>
      <c r="R1430" s="131"/>
      <c r="S1430" s="131"/>
      <c r="T1430" s="131"/>
      <c r="U1430" s="132"/>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19" t="s">
        <v>3450</v>
      </c>
      <c r="D1432" s="120"/>
      <c r="E1432" s="125" t="s">
        <v>162</v>
      </c>
      <c r="H1432" s="36"/>
      <c r="I1432" s="36"/>
      <c r="J1432" s="36"/>
      <c r="K1432" s="36"/>
      <c r="L1432" s="36"/>
      <c r="M1432" s="36"/>
      <c r="N1432" s="36"/>
      <c r="O1432" s="36"/>
      <c r="P1432" s="36"/>
      <c r="Q1432" s="36"/>
      <c r="R1432" s="137" t="str">
        <f>"バックアップ_"&amp;SUBSTITUTE(C1432,"_結合","")</f>
        <v>バックアップ_経過記録情報モジュール_プロブレムレコード</v>
      </c>
      <c r="S1432" s="138"/>
      <c r="T1432" s="123" t="str">
        <f>エンティティ一覧!$O$2</f>
        <v>milscm_2023_009</v>
      </c>
    </row>
    <row r="1433" spans="2:23" ht="18.75" customHeight="1">
      <c r="C1433" s="121"/>
      <c r="D1433" s="122"/>
      <c r="E1433" s="126"/>
      <c r="F1433" s="37"/>
      <c r="G1433" s="38"/>
      <c r="H1433" s="37"/>
      <c r="I1433" s="37"/>
      <c r="J1433" s="37"/>
      <c r="K1433" s="37"/>
      <c r="L1433" s="37"/>
      <c r="M1433" s="37"/>
      <c r="N1433" s="37"/>
      <c r="O1433" s="37"/>
      <c r="P1433" s="37"/>
      <c r="Q1433" s="37"/>
      <c r="R1433" s="139"/>
      <c r="S1433" s="140"/>
      <c r="T1433" s="124"/>
    </row>
    <row r="1434" spans="2:23" ht="18.75" customHeight="1">
      <c r="F1434" s="39"/>
      <c r="G1434" s="40"/>
    </row>
    <row r="1435" spans="2:23" ht="18.75" customHeight="1">
      <c r="C1435" s="119" t="s">
        <v>3183</v>
      </c>
      <c r="D1435" s="120"/>
      <c r="E1435" s="123" t="str">
        <f>エンティティ一覧!$O$2</f>
        <v>milscm_2023_009</v>
      </c>
      <c r="G1435" s="41"/>
    </row>
    <row r="1436" spans="2:23" ht="18.75" customHeight="1">
      <c r="C1436" s="121"/>
      <c r="D1436" s="122"/>
      <c r="E1436" s="124"/>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3451</v>
      </c>
      <c r="D1440" s="88"/>
      <c r="W1440" s="35" t="str">
        <f>"-- "&amp;B1440&amp;" : "&amp;C1440</f>
        <v>-- SQL_ID : 01_C4-08</v>
      </c>
    </row>
    <row r="1441" spans="2:23" ht="18.75" customHeight="1">
      <c r="B1441" s="43" t="s">
        <v>158</v>
      </c>
      <c r="C1441" s="127" t="str">
        <f>R1444&amp;"登録"</f>
        <v>バックアップ_経過記録情報モジュール_身体所見レコード登録</v>
      </c>
      <c r="D1441" s="128"/>
      <c r="E1441" s="128"/>
      <c r="F1441" s="128"/>
      <c r="G1441" s="128"/>
      <c r="H1441" s="128"/>
      <c r="I1441" s="128"/>
      <c r="J1441" s="128"/>
      <c r="K1441" s="128"/>
      <c r="L1441" s="128"/>
      <c r="M1441" s="128"/>
      <c r="N1441" s="128"/>
      <c r="O1441" s="128"/>
      <c r="P1441" s="128"/>
      <c r="Q1441" s="128"/>
      <c r="R1441" s="128"/>
      <c r="S1441" s="128"/>
      <c r="T1441" s="128"/>
      <c r="U1441" s="129"/>
      <c r="W1441" s="35" t="str">
        <f>"-- "&amp;C1441</f>
        <v>-- バックアップ_経過記録情報モジュール_身体所見レコード登録</v>
      </c>
    </row>
    <row r="1442" spans="2:23" ht="18.75" customHeight="1">
      <c r="B1442" s="43" t="s">
        <v>159</v>
      </c>
      <c r="C1442" s="130"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31"/>
      <c r="E1442" s="131"/>
      <c r="F1442" s="131"/>
      <c r="G1442" s="131"/>
      <c r="H1442" s="131"/>
      <c r="I1442" s="131"/>
      <c r="J1442" s="131"/>
      <c r="K1442" s="131"/>
      <c r="L1442" s="131"/>
      <c r="M1442" s="131"/>
      <c r="N1442" s="131"/>
      <c r="O1442" s="131"/>
      <c r="P1442" s="131"/>
      <c r="Q1442" s="131"/>
      <c r="R1442" s="131"/>
      <c r="S1442" s="131"/>
      <c r="T1442" s="131"/>
      <c r="U1442" s="132"/>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19" t="s">
        <v>3452</v>
      </c>
      <c r="D1444" s="120"/>
      <c r="E1444" s="125" t="s">
        <v>162</v>
      </c>
      <c r="H1444" s="36"/>
      <c r="I1444" s="36"/>
      <c r="J1444" s="36"/>
      <c r="K1444" s="36"/>
      <c r="L1444" s="36"/>
      <c r="M1444" s="36"/>
      <c r="N1444" s="36"/>
      <c r="O1444" s="36"/>
      <c r="P1444" s="36"/>
      <c r="Q1444" s="36"/>
      <c r="R1444" s="137" t="str">
        <f>"バックアップ_"&amp;SUBSTITUTE(C1444,"_結合","")</f>
        <v>バックアップ_経過記録情報モジュール_身体所見レコード</v>
      </c>
      <c r="S1444" s="138"/>
      <c r="T1444" s="123" t="str">
        <f>エンティティ一覧!$O$2</f>
        <v>milscm_2023_009</v>
      </c>
    </row>
    <row r="1445" spans="2:23" ht="18.75" customHeight="1">
      <c r="C1445" s="121"/>
      <c r="D1445" s="122"/>
      <c r="E1445" s="126"/>
      <c r="F1445" s="37"/>
      <c r="G1445" s="38"/>
      <c r="H1445" s="37"/>
      <c r="I1445" s="37"/>
      <c r="J1445" s="37"/>
      <c r="K1445" s="37"/>
      <c r="L1445" s="37"/>
      <c r="M1445" s="37"/>
      <c r="N1445" s="37"/>
      <c r="O1445" s="37"/>
      <c r="P1445" s="37"/>
      <c r="Q1445" s="37"/>
      <c r="R1445" s="139"/>
      <c r="S1445" s="140"/>
      <c r="T1445" s="124"/>
    </row>
    <row r="1446" spans="2:23" ht="18.75" customHeight="1">
      <c r="F1446" s="39"/>
      <c r="G1446" s="40"/>
    </row>
    <row r="1447" spans="2:23" ht="18.75" customHeight="1">
      <c r="C1447" s="119" t="s">
        <v>3183</v>
      </c>
      <c r="D1447" s="120"/>
      <c r="E1447" s="123" t="str">
        <f>エンティティ一覧!$O$2</f>
        <v>milscm_2023_009</v>
      </c>
      <c r="G1447" s="41"/>
    </row>
    <row r="1448" spans="2:23" ht="18.75" customHeight="1">
      <c r="C1448" s="121"/>
      <c r="D1448" s="122"/>
      <c r="E1448" s="124"/>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3453</v>
      </c>
      <c r="D1452" s="88"/>
      <c r="W1452" s="35" t="str">
        <f>"-- "&amp;B1452&amp;" : "&amp;C1452</f>
        <v>-- SQL_ID : 01_C4-15</v>
      </c>
    </row>
    <row r="1453" spans="2:23" ht="18.75" customHeight="1">
      <c r="B1453" s="43" t="s">
        <v>158</v>
      </c>
      <c r="C1453" s="127" t="str">
        <f>R1456&amp;"登録"</f>
        <v>バックアップ_経過記録情報モジュール_アセスメントレコード登録</v>
      </c>
      <c r="D1453" s="128"/>
      <c r="E1453" s="128"/>
      <c r="F1453" s="128"/>
      <c r="G1453" s="128"/>
      <c r="H1453" s="128"/>
      <c r="I1453" s="128"/>
      <c r="J1453" s="128"/>
      <c r="K1453" s="128"/>
      <c r="L1453" s="128"/>
      <c r="M1453" s="128"/>
      <c r="N1453" s="128"/>
      <c r="O1453" s="128"/>
      <c r="P1453" s="128"/>
      <c r="Q1453" s="128"/>
      <c r="R1453" s="128"/>
      <c r="S1453" s="128"/>
      <c r="T1453" s="128"/>
      <c r="U1453" s="129"/>
      <c r="W1453" s="35" t="str">
        <f>"-- "&amp;C1453</f>
        <v>-- バックアップ_経過記録情報モジュール_アセスメントレコード登録</v>
      </c>
    </row>
    <row r="1454" spans="2:23" ht="18.75" customHeight="1">
      <c r="B1454" s="43" t="s">
        <v>159</v>
      </c>
      <c r="C1454" s="130"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31"/>
      <c r="E1454" s="131"/>
      <c r="F1454" s="131"/>
      <c r="G1454" s="131"/>
      <c r="H1454" s="131"/>
      <c r="I1454" s="131"/>
      <c r="J1454" s="131"/>
      <c r="K1454" s="131"/>
      <c r="L1454" s="131"/>
      <c r="M1454" s="131"/>
      <c r="N1454" s="131"/>
      <c r="O1454" s="131"/>
      <c r="P1454" s="131"/>
      <c r="Q1454" s="131"/>
      <c r="R1454" s="131"/>
      <c r="S1454" s="131"/>
      <c r="T1454" s="131"/>
      <c r="U1454" s="132"/>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19" t="s">
        <v>3454</v>
      </c>
      <c r="D1456" s="120"/>
      <c r="E1456" s="125" t="s">
        <v>162</v>
      </c>
      <c r="H1456" s="36"/>
      <c r="I1456" s="36"/>
      <c r="J1456" s="36"/>
      <c r="K1456" s="36"/>
      <c r="L1456" s="36"/>
      <c r="M1456" s="36"/>
      <c r="N1456" s="36"/>
      <c r="O1456" s="36"/>
      <c r="P1456" s="36"/>
      <c r="Q1456" s="36"/>
      <c r="R1456" s="137" t="str">
        <f>"バックアップ_"&amp;SUBSTITUTE(C1456,"_結合","")</f>
        <v>バックアップ_経過記録情報モジュール_アセスメントレコード</v>
      </c>
      <c r="S1456" s="138"/>
      <c r="T1456" s="123" t="str">
        <f>エンティティ一覧!$O$2</f>
        <v>milscm_2023_009</v>
      </c>
    </row>
    <row r="1457" spans="2:23" ht="18.75" customHeight="1">
      <c r="C1457" s="121"/>
      <c r="D1457" s="122"/>
      <c r="E1457" s="126"/>
      <c r="F1457" s="37"/>
      <c r="G1457" s="38"/>
      <c r="H1457" s="37"/>
      <c r="I1457" s="37"/>
      <c r="J1457" s="37"/>
      <c r="K1457" s="37"/>
      <c r="L1457" s="37"/>
      <c r="M1457" s="37"/>
      <c r="N1457" s="37"/>
      <c r="O1457" s="37"/>
      <c r="P1457" s="37"/>
      <c r="Q1457" s="37"/>
      <c r="R1457" s="139"/>
      <c r="S1457" s="140"/>
      <c r="T1457" s="124"/>
    </row>
    <row r="1458" spans="2:23" ht="18.75" customHeight="1">
      <c r="F1458" s="39"/>
      <c r="G1458" s="40"/>
    </row>
    <row r="1459" spans="2:23" ht="18.75" customHeight="1">
      <c r="C1459" s="119" t="s">
        <v>3183</v>
      </c>
      <c r="D1459" s="120"/>
      <c r="E1459" s="123" t="str">
        <f>エンティティ一覧!$O$2</f>
        <v>milscm_2023_009</v>
      </c>
      <c r="G1459" s="41"/>
    </row>
    <row r="1460" spans="2:23" ht="18.75" customHeight="1">
      <c r="C1460" s="121"/>
      <c r="D1460" s="122"/>
      <c r="E1460" s="124"/>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3455</v>
      </c>
      <c r="D1464" s="88"/>
      <c r="W1464" s="35" t="str">
        <f>"-- "&amp;B1464&amp;" : "&amp;C1464</f>
        <v>-- SQL_ID : 01_C4-22</v>
      </c>
    </row>
    <row r="1465" spans="2:23" ht="18.75" customHeight="1">
      <c r="B1465" s="43" t="s">
        <v>158</v>
      </c>
      <c r="C1465" s="127" t="str">
        <f>R1468&amp;"登録"</f>
        <v>バックアップ_経過記録情報モジュール_外部参照レコード登録</v>
      </c>
      <c r="D1465" s="128"/>
      <c r="E1465" s="128"/>
      <c r="F1465" s="128"/>
      <c r="G1465" s="128"/>
      <c r="H1465" s="128"/>
      <c r="I1465" s="128"/>
      <c r="J1465" s="128"/>
      <c r="K1465" s="128"/>
      <c r="L1465" s="128"/>
      <c r="M1465" s="128"/>
      <c r="N1465" s="128"/>
      <c r="O1465" s="128"/>
      <c r="P1465" s="128"/>
      <c r="Q1465" s="128"/>
      <c r="R1465" s="128"/>
      <c r="S1465" s="128"/>
      <c r="T1465" s="128"/>
      <c r="U1465" s="129"/>
      <c r="W1465" s="35" t="str">
        <f>"-- "&amp;C1465</f>
        <v>-- バックアップ_経過記録情報モジュール_外部参照レコード登録</v>
      </c>
    </row>
    <row r="1466" spans="2:23" ht="18.75" customHeight="1">
      <c r="B1466" s="43" t="s">
        <v>159</v>
      </c>
      <c r="C1466" s="130"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31"/>
      <c r="E1466" s="131"/>
      <c r="F1466" s="131"/>
      <c r="G1466" s="131"/>
      <c r="H1466" s="131"/>
      <c r="I1466" s="131"/>
      <c r="J1466" s="131"/>
      <c r="K1466" s="131"/>
      <c r="L1466" s="131"/>
      <c r="M1466" s="131"/>
      <c r="N1466" s="131"/>
      <c r="O1466" s="131"/>
      <c r="P1466" s="131"/>
      <c r="Q1466" s="131"/>
      <c r="R1466" s="131"/>
      <c r="S1466" s="131"/>
      <c r="T1466" s="131"/>
      <c r="U1466" s="132"/>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19" t="s">
        <v>3456</v>
      </c>
      <c r="D1468" s="120"/>
      <c r="E1468" s="125" t="s">
        <v>162</v>
      </c>
      <c r="H1468" s="36"/>
      <c r="I1468" s="36"/>
      <c r="J1468" s="36"/>
      <c r="K1468" s="36"/>
      <c r="L1468" s="36"/>
      <c r="M1468" s="36"/>
      <c r="N1468" s="36"/>
      <c r="O1468" s="36"/>
      <c r="P1468" s="36"/>
      <c r="Q1468" s="36"/>
      <c r="R1468" s="137" t="str">
        <f>"バックアップ_"&amp;SUBSTITUTE(C1468,"_結合","")</f>
        <v>バックアップ_経過記録情報モジュール_外部参照レコード</v>
      </c>
      <c r="S1468" s="138"/>
      <c r="T1468" s="123" t="str">
        <f>エンティティ一覧!$O$2</f>
        <v>milscm_2023_009</v>
      </c>
    </row>
    <row r="1469" spans="2:23" ht="18.75" customHeight="1">
      <c r="C1469" s="121"/>
      <c r="D1469" s="122"/>
      <c r="E1469" s="126"/>
      <c r="F1469" s="37"/>
      <c r="G1469" s="38"/>
      <c r="H1469" s="37"/>
      <c r="I1469" s="37"/>
      <c r="J1469" s="37"/>
      <c r="K1469" s="37"/>
      <c r="L1469" s="37"/>
      <c r="M1469" s="37"/>
      <c r="N1469" s="37"/>
      <c r="O1469" s="37"/>
      <c r="P1469" s="37"/>
      <c r="Q1469" s="37"/>
      <c r="R1469" s="139"/>
      <c r="S1469" s="140"/>
      <c r="T1469" s="124"/>
    </row>
    <row r="1470" spans="2:23" ht="18.75" customHeight="1">
      <c r="F1470" s="39"/>
      <c r="G1470" s="40"/>
    </row>
    <row r="1471" spans="2:23" ht="18.75" customHeight="1">
      <c r="C1471" s="119" t="s">
        <v>3183</v>
      </c>
      <c r="D1471" s="120"/>
      <c r="E1471" s="123" t="str">
        <f>エンティティ一覧!$O$2</f>
        <v>milscm_2023_009</v>
      </c>
      <c r="G1471" s="41"/>
    </row>
    <row r="1472" spans="2:23" ht="18.75" customHeight="1">
      <c r="C1472" s="121"/>
      <c r="D1472" s="122"/>
      <c r="E1472" s="124"/>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3457</v>
      </c>
      <c r="D1476" s="88"/>
      <c r="W1476" s="35" t="str">
        <f>"-- "&amp;B1476&amp;" : "&amp;C1476</f>
        <v>-- SQL_ID : 01_C4-23</v>
      </c>
    </row>
    <row r="1477" spans="2:23" ht="18.75" customHeight="1">
      <c r="B1477" s="43" t="s">
        <v>158</v>
      </c>
      <c r="C1477" s="127" t="str">
        <f>R1480&amp;"登録"</f>
        <v>バックアップ_臨床サマリーモジュール_臨床サマリー情報レコード登録</v>
      </c>
      <c r="D1477" s="128"/>
      <c r="E1477" s="128"/>
      <c r="F1477" s="128"/>
      <c r="G1477" s="128"/>
      <c r="H1477" s="128"/>
      <c r="I1477" s="128"/>
      <c r="J1477" s="128"/>
      <c r="K1477" s="128"/>
      <c r="L1477" s="128"/>
      <c r="M1477" s="128"/>
      <c r="N1477" s="128"/>
      <c r="O1477" s="128"/>
      <c r="P1477" s="128"/>
      <c r="Q1477" s="128"/>
      <c r="R1477" s="128"/>
      <c r="S1477" s="128"/>
      <c r="T1477" s="128"/>
      <c r="U1477" s="129"/>
      <c r="W1477" s="35" t="str">
        <f>"-- "&amp;C1477</f>
        <v>-- バックアップ_臨床サマリーモジュール_臨床サマリー情報レコード登録</v>
      </c>
    </row>
    <row r="1478" spans="2:23" ht="18.75" customHeight="1">
      <c r="B1478" s="43" t="s">
        <v>159</v>
      </c>
      <c r="C1478" s="130"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31"/>
      <c r="E1478" s="131"/>
      <c r="F1478" s="131"/>
      <c r="G1478" s="131"/>
      <c r="H1478" s="131"/>
      <c r="I1478" s="131"/>
      <c r="J1478" s="131"/>
      <c r="K1478" s="131"/>
      <c r="L1478" s="131"/>
      <c r="M1478" s="131"/>
      <c r="N1478" s="131"/>
      <c r="O1478" s="131"/>
      <c r="P1478" s="131"/>
      <c r="Q1478" s="131"/>
      <c r="R1478" s="131"/>
      <c r="S1478" s="131"/>
      <c r="T1478" s="131"/>
      <c r="U1478" s="132"/>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33" t="s">
        <v>3458</v>
      </c>
      <c r="D1480" s="134"/>
      <c r="E1480" s="125" t="s">
        <v>162</v>
      </c>
      <c r="H1480" s="36"/>
      <c r="I1480" s="36"/>
      <c r="J1480" s="36"/>
      <c r="K1480" s="36"/>
      <c r="L1480" s="36"/>
      <c r="M1480" s="36"/>
      <c r="N1480" s="36"/>
      <c r="O1480" s="36"/>
      <c r="P1480" s="36"/>
      <c r="Q1480" s="36"/>
      <c r="R1480" s="141" t="str">
        <f>"バックアップ_"&amp;SUBSTITUTE(C1480,"_結合","")</f>
        <v>バックアップ_臨床サマリーモジュール_臨床サマリー情報レコード</v>
      </c>
      <c r="S1480" s="142"/>
      <c r="T1480" s="123" t="str">
        <f>エンティティ一覧!$O$2</f>
        <v>milscm_2023_009</v>
      </c>
    </row>
    <row r="1481" spans="2:23" ht="18.75" customHeight="1">
      <c r="C1481" s="135"/>
      <c r="D1481" s="136"/>
      <c r="E1481" s="126"/>
      <c r="F1481" s="37"/>
      <c r="G1481" s="38"/>
      <c r="H1481" s="37"/>
      <c r="I1481" s="37"/>
      <c r="J1481" s="37"/>
      <c r="K1481" s="37"/>
      <c r="L1481" s="37"/>
      <c r="M1481" s="37"/>
      <c r="N1481" s="37"/>
      <c r="O1481" s="37"/>
      <c r="P1481" s="37"/>
      <c r="Q1481" s="37"/>
      <c r="R1481" s="143"/>
      <c r="S1481" s="144"/>
      <c r="T1481" s="124"/>
    </row>
    <row r="1482" spans="2:23" ht="18.75" customHeight="1">
      <c r="F1482" s="39"/>
      <c r="G1482" s="40"/>
    </row>
    <row r="1483" spans="2:23" ht="18.75" customHeight="1">
      <c r="C1483" s="119" t="s">
        <v>3183</v>
      </c>
      <c r="D1483" s="120"/>
      <c r="E1483" s="123" t="str">
        <f>エンティティ一覧!$O$2</f>
        <v>milscm_2023_009</v>
      </c>
      <c r="G1483" s="41"/>
    </row>
    <row r="1484" spans="2:23" ht="18.75" customHeight="1">
      <c r="C1484" s="121"/>
      <c r="D1484" s="122"/>
      <c r="E1484" s="124"/>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3459</v>
      </c>
      <c r="D1488" s="88"/>
      <c r="W1488" s="35" t="str">
        <f>"-- "&amp;B1488&amp;" : "&amp;C1488</f>
        <v>-- SQL_ID : 01_C4-24</v>
      </c>
    </row>
    <row r="1489" spans="2:23" ht="18.75" customHeight="1">
      <c r="B1489" s="43" t="s">
        <v>158</v>
      </c>
      <c r="C1489" s="127" t="str">
        <f>R1492&amp;"登録"</f>
        <v>バックアップ_臨床サマリーモジュール_外来受診レコード登録</v>
      </c>
      <c r="D1489" s="128"/>
      <c r="E1489" s="128"/>
      <c r="F1489" s="128"/>
      <c r="G1489" s="128"/>
      <c r="H1489" s="128"/>
      <c r="I1489" s="128"/>
      <c r="J1489" s="128"/>
      <c r="K1489" s="128"/>
      <c r="L1489" s="128"/>
      <c r="M1489" s="128"/>
      <c r="N1489" s="128"/>
      <c r="O1489" s="128"/>
      <c r="P1489" s="128"/>
      <c r="Q1489" s="128"/>
      <c r="R1489" s="128"/>
      <c r="S1489" s="128"/>
      <c r="T1489" s="128"/>
      <c r="U1489" s="129"/>
      <c r="W1489" s="35" t="str">
        <f>"-- "&amp;C1489</f>
        <v>-- バックアップ_臨床サマリーモジュール_外来受診レコード登録</v>
      </c>
    </row>
    <row r="1490" spans="2:23" ht="18.75" customHeight="1">
      <c r="B1490" s="43" t="s">
        <v>159</v>
      </c>
      <c r="C1490" s="130"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31"/>
      <c r="E1490" s="131"/>
      <c r="F1490" s="131"/>
      <c r="G1490" s="131"/>
      <c r="H1490" s="131"/>
      <c r="I1490" s="131"/>
      <c r="J1490" s="131"/>
      <c r="K1490" s="131"/>
      <c r="L1490" s="131"/>
      <c r="M1490" s="131"/>
      <c r="N1490" s="131"/>
      <c r="O1490" s="131"/>
      <c r="P1490" s="131"/>
      <c r="Q1490" s="131"/>
      <c r="R1490" s="131"/>
      <c r="S1490" s="131"/>
      <c r="T1490" s="131"/>
      <c r="U1490" s="132"/>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19" t="s">
        <v>3460</v>
      </c>
      <c r="D1492" s="120"/>
      <c r="E1492" s="125" t="s">
        <v>162</v>
      </c>
      <c r="H1492" s="36"/>
      <c r="I1492" s="36"/>
      <c r="J1492" s="36"/>
      <c r="K1492" s="36"/>
      <c r="L1492" s="36"/>
      <c r="M1492" s="36"/>
      <c r="N1492" s="36"/>
      <c r="O1492" s="36"/>
      <c r="P1492" s="36"/>
      <c r="Q1492" s="36"/>
      <c r="R1492" s="137" t="str">
        <f>"バックアップ_"&amp;SUBSTITUTE(C1492,"_結合","")</f>
        <v>バックアップ_臨床サマリーモジュール_外来受診レコード</v>
      </c>
      <c r="S1492" s="138"/>
      <c r="T1492" s="123" t="str">
        <f>エンティティ一覧!$O$2</f>
        <v>milscm_2023_009</v>
      </c>
    </row>
    <row r="1493" spans="2:23" ht="18.75" customHeight="1">
      <c r="C1493" s="121"/>
      <c r="D1493" s="122"/>
      <c r="E1493" s="126"/>
      <c r="F1493" s="37"/>
      <c r="G1493" s="38"/>
      <c r="H1493" s="37"/>
      <c r="I1493" s="37"/>
      <c r="J1493" s="37"/>
      <c r="K1493" s="37"/>
      <c r="L1493" s="37"/>
      <c r="M1493" s="37"/>
      <c r="N1493" s="37"/>
      <c r="O1493" s="37"/>
      <c r="P1493" s="37"/>
      <c r="Q1493" s="37"/>
      <c r="R1493" s="139"/>
      <c r="S1493" s="140"/>
      <c r="T1493" s="124"/>
    </row>
    <row r="1494" spans="2:23" ht="18.75" customHeight="1">
      <c r="F1494" s="39"/>
      <c r="G1494" s="40"/>
    </row>
    <row r="1495" spans="2:23" ht="18.75" customHeight="1">
      <c r="C1495" s="119" t="s">
        <v>3183</v>
      </c>
      <c r="D1495" s="120"/>
      <c r="E1495" s="123" t="str">
        <f>エンティティ一覧!$O$2</f>
        <v>milscm_2023_009</v>
      </c>
      <c r="G1495" s="41"/>
    </row>
    <row r="1496" spans="2:23" ht="18.75" customHeight="1">
      <c r="C1496" s="121"/>
      <c r="D1496" s="122"/>
      <c r="E1496" s="124"/>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3461</v>
      </c>
      <c r="D1500" s="88"/>
      <c r="W1500" s="35" t="str">
        <f>"-- "&amp;B1500&amp;" : "&amp;C1500</f>
        <v>-- SQL_ID : 01_C4-25</v>
      </c>
    </row>
    <row r="1501" spans="2:23" ht="18.75" customHeight="1">
      <c r="B1501" s="43" t="s">
        <v>158</v>
      </c>
      <c r="C1501" s="127" t="str">
        <f>R1504&amp;"登録"</f>
        <v>バックアップ_臨床サマリーモジュール_入院レコード登録</v>
      </c>
      <c r="D1501" s="128"/>
      <c r="E1501" s="128"/>
      <c r="F1501" s="128"/>
      <c r="G1501" s="128"/>
      <c r="H1501" s="128"/>
      <c r="I1501" s="128"/>
      <c r="J1501" s="128"/>
      <c r="K1501" s="128"/>
      <c r="L1501" s="128"/>
      <c r="M1501" s="128"/>
      <c r="N1501" s="128"/>
      <c r="O1501" s="128"/>
      <c r="P1501" s="128"/>
      <c r="Q1501" s="128"/>
      <c r="R1501" s="128"/>
      <c r="S1501" s="128"/>
      <c r="T1501" s="128"/>
      <c r="U1501" s="129"/>
      <c r="W1501" s="35" t="str">
        <f>"-- "&amp;C1501</f>
        <v>-- バックアップ_臨床サマリーモジュール_入院レコード登録</v>
      </c>
    </row>
    <row r="1502" spans="2:23" ht="18.75" customHeight="1">
      <c r="B1502" s="43" t="s">
        <v>159</v>
      </c>
      <c r="C1502" s="130"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31"/>
      <c r="E1502" s="131"/>
      <c r="F1502" s="131"/>
      <c r="G1502" s="131"/>
      <c r="H1502" s="131"/>
      <c r="I1502" s="131"/>
      <c r="J1502" s="131"/>
      <c r="K1502" s="131"/>
      <c r="L1502" s="131"/>
      <c r="M1502" s="131"/>
      <c r="N1502" s="131"/>
      <c r="O1502" s="131"/>
      <c r="P1502" s="131"/>
      <c r="Q1502" s="131"/>
      <c r="R1502" s="131"/>
      <c r="S1502" s="131"/>
      <c r="T1502" s="131"/>
      <c r="U1502" s="132"/>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19" t="s">
        <v>3462</v>
      </c>
      <c r="D1504" s="120"/>
      <c r="E1504" s="125" t="s">
        <v>162</v>
      </c>
      <c r="H1504" s="36"/>
      <c r="I1504" s="36"/>
      <c r="J1504" s="36"/>
      <c r="K1504" s="36"/>
      <c r="L1504" s="36"/>
      <c r="M1504" s="36"/>
      <c r="N1504" s="36"/>
      <c r="O1504" s="36"/>
      <c r="P1504" s="36"/>
      <c r="Q1504" s="36"/>
      <c r="R1504" s="137" t="str">
        <f>"バックアップ_"&amp;SUBSTITUTE(C1504,"_結合","")</f>
        <v>バックアップ_臨床サマリーモジュール_入院レコード</v>
      </c>
      <c r="S1504" s="138"/>
      <c r="T1504" s="123" t="str">
        <f>エンティティ一覧!$O$2</f>
        <v>milscm_2023_009</v>
      </c>
    </row>
    <row r="1505" spans="2:23" ht="18.75" customHeight="1">
      <c r="C1505" s="121"/>
      <c r="D1505" s="122"/>
      <c r="E1505" s="126"/>
      <c r="F1505" s="37"/>
      <c r="G1505" s="38"/>
      <c r="H1505" s="37"/>
      <c r="I1505" s="37"/>
      <c r="J1505" s="37"/>
      <c r="K1505" s="37"/>
      <c r="L1505" s="37"/>
      <c r="M1505" s="37"/>
      <c r="N1505" s="37"/>
      <c r="O1505" s="37"/>
      <c r="P1505" s="37"/>
      <c r="Q1505" s="37"/>
      <c r="R1505" s="139"/>
      <c r="S1505" s="140"/>
      <c r="T1505" s="124"/>
    </row>
    <row r="1506" spans="2:23" ht="18.75" customHeight="1">
      <c r="F1506" s="39"/>
      <c r="G1506" s="40"/>
    </row>
    <row r="1507" spans="2:23" ht="18.75" customHeight="1">
      <c r="C1507" s="119" t="s">
        <v>3183</v>
      </c>
      <c r="D1507" s="120"/>
      <c r="E1507" s="123" t="str">
        <f>エンティティ一覧!$O$2</f>
        <v>milscm_2023_009</v>
      </c>
      <c r="G1507" s="41"/>
    </row>
    <row r="1508" spans="2:23" ht="18.75" customHeight="1">
      <c r="C1508" s="121"/>
      <c r="D1508" s="122"/>
      <c r="E1508" s="124"/>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3463</v>
      </c>
      <c r="D1512" s="88"/>
      <c r="W1512" s="35" t="str">
        <f>"-- "&amp;B1512&amp;" : "&amp;C1512</f>
        <v>-- SQL_ID : 01_C4-29</v>
      </c>
    </row>
    <row r="1513" spans="2:23" ht="18.75" customHeight="1">
      <c r="B1513" s="43" t="s">
        <v>158</v>
      </c>
      <c r="C1513" s="127" t="str">
        <f>R1516&amp;"登録"</f>
        <v>バックアップ_臨床サマリーモジュール_経過記録レコード登録</v>
      </c>
      <c r="D1513" s="128"/>
      <c r="E1513" s="128"/>
      <c r="F1513" s="128"/>
      <c r="G1513" s="128"/>
      <c r="H1513" s="128"/>
      <c r="I1513" s="128"/>
      <c r="J1513" s="128"/>
      <c r="K1513" s="128"/>
      <c r="L1513" s="128"/>
      <c r="M1513" s="128"/>
      <c r="N1513" s="128"/>
      <c r="O1513" s="128"/>
      <c r="P1513" s="128"/>
      <c r="Q1513" s="128"/>
      <c r="R1513" s="128"/>
      <c r="S1513" s="128"/>
      <c r="T1513" s="128"/>
      <c r="U1513" s="129"/>
      <c r="W1513" s="35" t="str">
        <f>"-- "&amp;C1513</f>
        <v>-- バックアップ_臨床サマリーモジュール_経過記録レコード登録</v>
      </c>
    </row>
    <row r="1514" spans="2:23" ht="18.75" customHeight="1">
      <c r="B1514" s="43" t="s">
        <v>159</v>
      </c>
      <c r="C1514" s="130"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31"/>
      <c r="E1514" s="131"/>
      <c r="F1514" s="131"/>
      <c r="G1514" s="131"/>
      <c r="H1514" s="131"/>
      <c r="I1514" s="131"/>
      <c r="J1514" s="131"/>
      <c r="K1514" s="131"/>
      <c r="L1514" s="131"/>
      <c r="M1514" s="131"/>
      <c r="N1514" s="131"/>
      <c r="O1514" s="131"/>
      <c r="P1514" s="131"/>
      <c r="Q1514" s="131"/>
      <c r="R1514" s="131"/>
      <c r="S1514" s="131"/>
      <c r="T1514" s="131"/>
      <c r="U1514" s="132"/>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19" t="s">
        <v>3464</v>
      </c>
      <c r="D1516" s="120"/>
      <c r="E1516" s="125" t="s">
        <v>162</v>
      </c>
      <c r="H1516" s="36"/>
      <c r="I1516" s="36"/>
      <c r="J1516" s="36"/>
      <c r="K1516" s="36"/>
      <c r="L1516" s="36"/>
      <c r="M1516" s="36"/>
      <c r="N1516" s="36"/>
      <c r="O1516" s="36"/>
      <c r="P1516" s="36"/>
      <c r="Q1516" s="36"/>
      <c r="R1516" s="137" t="str">
        <f>"バックアップ_"&amp;SUBSTITUTE(C1516,"_結合","")</f>
        <v>バックアップ_臨床サマリーモジュール_経過記録レコード</v>
      </c>
      <c r="S1516" s="138"/>
      <c r="T1516" s="123" t="str">
        <f>エンティティ一覧!$O$2</f>
        <v>milscm_2023_009</v>
      </c>
    </row>
    <row r="1517" spans="2:23" ht="18.75" customHeight="1">
      <c r="C1517" s="121"/>
      <c r="D1517" s="122"/>
      <c r="E1517" s="126"/>
      <c r="F1517" s="37"/>
      <c r="G1517" s="38"/>
      <c r="H1517" s="37"/>
      <c r="I1517" s="37"/>
      <c r="J1517" s="37"/>
      <c r="K1517" s="37"/>
      <c r="L1517" s="37"/>
      <c r="M1517" s="37"/>
      <c r="N1517" s="37"/>
      <c r="O1517" s="37"/>
      <c r="P1517" s="37"/>
      <c r="Q1517" s="37"/>
      <c r="R1517" s="139"/>
      <c r="S1517" s="140"/>
      <c r="T1517" s="124"/>
    </row>
    <row r="1518" spans="2:23" ht="18.75" customHeight="1">
      <c r="F1518" s="39"/>
      <c r="G1518" s="40"/>
    </row>
    <row r="1519" spans="2:23" ht="18.75" customHeight="1">
      <c r="C1519" s="119" t="s">
        <v>3183</v>
      </c>
      <c r="D1519" s="120"/>
      <c r="E1519" s="123" t="str">
        <f>エンティティ一覧!$O$2</f>
        <v>milscm_2023_009</v>
      </c>
      <c r="G1519" s="41"/>
    </row>
    <row r="1520" spans="2:23" ht="18.75" customHeight="1">
      <c r="C1520" s="121"/>
      <c r="D1520" s="122"/>
      <c r="E1520" s="124"/>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3465</v>
      </c>
      <c r="D1524" s="88"/>
      <c r="W1524" s="35" t="str">
        <f>"-- "&amp;B1524&amp;" : "&amp;C1524</f>
        <v>-- SQL_ID : 01_C4-30</v>
      </c>
    </row>
    <row r="1525" spans="2:23" ht="18.75" customHeight="1">
      <c r="B1525" s="43" t="s">
        <v>158</v>
      </c>
      <c r="C1525" s="127" t="str">
        <f>R1528&amp;"登録"</f>
        <v>バックアップ_臨床サマリーモジュール_検査結果レコード登録</v>
      </c>
      <c r="D1525" s="128"/>
      <c r="E1525" s="128"/>
      <c r="F1525" s="128"/>
      <c r="G1525" s="128"/>
      <c r="H1525" s="128"/>
      <c r="I1525" s="128"/>
      <c r="J1525" s="128"/>
      <c r="K1525" s="128"/>
      <c r="L1525" s="128"/>
      <c r="M1525" s="128"/>
      <c r="N1525" s="128"/>
      <c r="O1525" s="128"/>
      <c r="P1525" s="128"/>
      <c r="Q1525" s="128"/>
      <c r="R1525" s="128"/>
      <c r="S1525" s="128"/>
      <c r="T1525" s="128"/>
      <c r="U1525" s="129"/>
      <c r="W1525" s="35" t="str">
        <f>"-- "&amp;C1525</f>
        <v>-- バックアップ_臨床サマリーモジュール_検査結果レコード登録</v>
      </c>
    </row>
    <row r="1526" spans="2:23" ht="18.75" customHeight="1">
      <c r="B1526" s="43" t="s">
        <v>159</v>
      </c>
      <c r="C1526" s="130"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31"/>
      <c r="E1526" s="131"/>
      <c r="F1526" s="131"/>
      <c r="G1526" s="131"/>
      <c r="H1526" s="131"/>
      <c r="I1526" s="131"/>
      <c r="J1526" s="131"/>
      <c r="K1526" s="131"/>
      <c r="L1526" s="131"/>
      <c r="M1526" s="131"/>
      <c r="N1526" s="131"/>
      <c r="O1526" s="131"/>
      <c r="P1526" s="131"/>
      <c r="Q1526" s="131"/>
      <c r="R1526" s="131"/>
      <c r="S1526" s="131"/>
      <c r="T1526" s="131"/>
      <c r="U1526" s="132"/>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19" t="s">
        <v>3466</v>
      </c>
      <c r="D1528" s="120"/>
      <c r="E1528" s="125" t="s">
        <v>162</v>
      </c>
      <c r="H1528" s="36"/>
      <c r="I1528" s="36"/>
      <c r="J1528" s="36"/>
      <c r="K1528" s="36"/>
      <c r="L1528" s="36"/>
      <c r="M1528" s="36"/>
      <c r="N1528" s="36"/>
      <c r="O1528" s="36"/>
      <c r="P1528" s="36"/>
      <c r="Q1528" s="36"/>
      <c r="R1528" s="137" t="str">
        <f>"バックアップ_"&amp;SUBSTITUTE(C1528,"_結合","")</f>
        <v>バックアップ_臨床サマリーモジュール_検査結果レコード</v>
      </c>
      <c r="S1528" s="138"/>
      <c r="T1528" s="123" t="str">
        <f>エンティティ一覧!$O$2</f>
        <v>milscm_2023_009</v>
      </c>
    </row>
    <row r="1529" spans="2:23" ht="18.75" customHeight="1">
      <c r="C1529" s="121"/>
      <c r="D1529" s="122"/>
      <c r="E1529" s="126"/>
      <c r="F1529" s="37"/>
      <c r="G1529" s="38"/>
      <c r="H1529" s="37"/>
      <c r="I1529" s="37"/>
      <c r="J1529" s="37"/>
      <c r="K1529" s="37"/>
      <c r="L1529" s="37"/>
      <c r="M1529" s="37"/>
      <c r="N1529" s="37"/>
      <c r="O1529" s="37"/>
      <c r="P1529" s="37"/>
      <c r="Q1529" s="37"/>
      <c r="R1529" s="139"/>
      <c r="S1529" s="140"/>
      <c r="T1529" s="124"/>
    </row>
    <row r="1530" spans="2:23" ht="18.75" customHeight="1">
      <c r="F1530" s="39"/>
      <c r="G1530" s="40"/>
    </row>
    <row r="1531" spans="2:23" ht="18.75" customHeight="1">
      <c r="C1531" s="119" t="s">
        <v>3183</v>
      </c>
      <c r="D1531" s="120"/>
      <c r="E1531" s="123" t="str">
        <f>エンティティ一覧!$O$2</f>
        <v>milscm_2023_009</v>
      </c>
      <c r="G1531" s="41"/>
    </row>
    <row r="1532" spans="2:23" ht="18.75" customHeight="1">
      <c r="C1532" s="121"/>
      <c r="D1532" s="122"/>
      <c r="E1532" s="124"/>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3467</v>
      </c>
      <c r="D1536" s="88"/>
      <c r="W1536" s="35" t="str">
        <f>"-- "&amp;B1536&amp;" : "&amp;C1536</f>
        <v>-- SQL_ID : 01_C4-31</v>
      </c>
    </row>
    <row r="1537" spans="2:23" ht="18.75" customHeight="1">
      <c r="B1537" s="43" t="s">
        <v>158</v>
      </c>
      <c r="C1537" s="127" t="str">
        <f>R1540&amp;"登録"</f>
        <v>バックアップ_検歴情報モジュール_検歴情報登録</v>
      </c>
      <c r="D1537" s="128"/>
      <c r="E1537" s="128"/>
      <c r="F1537" s="128"/>
      <c r="G1537" s="128"/>
      <c r="H1537" s="128"/>
      <c r="I1537" s="128"/>
      <c r="J1537" s="128"/>
      <c r="K1537" s="128"/>
      <c r="L1537" s="128"/>
      <c r="M1537" s="128"/>
      <c r="N1537" s="128"/>
      <c r="O1537" s="128"/>
      <c r="P1537" s="128"/>
      <c r="Q1537" s="128"/>
      <c r="R1537" s="128"/>
      <c r="S1537" s="128"/>
      <c r="T1537" s="128"/>
      <c r="U1537" s="129"/>
      <c r="W1537" s="35" t="str">
        <f>"-- "&amp;C1537</f>
        <v>-- バックアップ_検歴情報モジュール_検歴情報登録</v>
      </c>
    </row>
    <row r="1538" spans="2:23" ht="18.75" customHeight="1">
      <c r="B1538" s="43" t="s">
        <v>159</v>
      </c>
      <c r="C1538" s="130"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31"/>
      <c r="E1538" s="131"/>
      <c r="F1538" s="131"/>
      <c r="G1538" s="131"/>
      <c r="H1538" s="131"/>
      <c r="I1538" s="131"/>
      <c r="J1538" s="131"/>
      <c r="K1538" s="131"/>
      <c r="L1538" s="131"/>
      <c r="M1538" s="131"/>
      <c r="N1538" s="131"/>
      <c r="O1538" s="131"/>
      <c r="P1538" s="131"/>
      <c r="Q1538" s="131"/>
      <c r="R1538" s="131"/>
      <c r="S1538" s="131"/>
      <c r="T1538" s="131"/>
      <c r="U1538" s="132"/>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19" t="s">
        <v>3468</v>
      </c>
      <c r="D1540" s="120"/>
      <c r="E1540" s="125" t="s">
        <v>162</v>
      </c>
      <c r="H1540" s="36"/>
      <c r="I1540" s="36"/>
      <c r="J1540" s="36"/>
      <c r="K1540" s="36"/>
      <c r="L1540" s="36"/>
      <c r="M1540" s="36"/>
      <c r="N1540" s="36"/>
      <c r="O1540" s="36"/>
      <c r="P1540" s="36"/>
      <c r="Q1540" s="36"/>
      <c r="R1540" s="119" t="str">
        <f>"バックアップ_"&amp;SUBSTITUTE(C1540,"_結合","")</f>
        <v>バックアップ_検歴情報モジュール_検歴情報</v>
      </c>
      <c r="S1540" s="120"/>
      <c r="T1540" s="123" t="str">
        <f>エンティティ一覧!$O$2</f>
        <v>milscm_2023_009</v>
      </c>
    </row>
    <row r="1541" spans="2:23" ht="18.75" customHeight="1">
      <c r="C1541" s="121"/>
      <c r="D1541" s="122"/>
      <c r="E1541" s="126"/>
      <c r="F1541" s="37"/>
      <c r="G1541" s="38"/>
      <c r="H1541" s="37"/>
      <c r="I1541" s="37"/>
      <c r="J1541" s="37"/>
      <c r="K1541" s="37"/>
      <c r="L1541" s="37"/>
      <c r="M1541" s="37"/>
      <c r="N1541" s="37"/>
      <c r="O1541" s="37"/>
      <c r="P1541" s="37"/>
      <c r="Q1541" s="37"/>
      <c r="R1541" s="121"/>
      <c r="S1541" s="122"/>
      <c r="T1541" s="124"/>
    </row>
    <row r="1542" spans="2:23" ht="18.75" customHeight="1">
      <c r="F1542" s="39"/>
      <c r="G1542" s="40"/>
    </row>
    <row r="1543" spans="2:23" ht="18.75" customHeight="1">
      <c r="C1543" s="119" t="s">
        <v>3183</v>
      </c>
      <c r="D1543" s="120"/>
      <c r="E1543" s="123" t="str">
        <f>エンティティ一覧!$O$2</f>
        <v>milscm_2023_009</v>
      </c>
      <c r="G1543" s="41"/>
    </row>
    <row r="1544" spans="2:23" ht="18.75" customHeight="1">
      <c r="C1544" s="121"/>
      <c r="D1544" s="122"/>
      <c r="E1544" s="124"/>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3469</v>
      </c>
      <c r="D1548" s="88"/>
      <c r="W1548" s="35" t="str">
        <f>"-- "&amp;B1548&amp;" : "&amp;C1548</f>
        <v>-- SQL_ID : 01_C4-33</v>
      </c>
    </row>
    <row r="1549" spans="2:23" ht="18.75" customHeight="1">
      <c r="B1549" s="43" t="s">
        <v>158</v>
      </c>
      <c r="C1549" s="127" t="str">
        <f>R1552&amp;"登録"</f>
        <v>バックアップ_検歴情報モジュール_検歴検体材料登録</v>
      </c>
      <c r="D1549" s="128"/>
      <c r="E1549" s="128"/>
      <c r="F1549" s="128"/>
      <c r="G1549" s="128"/>
      <c r="H1549" s="128"/>
      <c r="I1549" s="128"/>
      <c r="J1549" s="128"/>
      <c r="K1549" s="128"/>
      <c r="L1549" s="128"/>
      <c r="M1549" s="128"/>
      <c r="N1549" s="128"/>
      <c r="O1549" s="128"/>
      <c r="P1549" s="128"/>
      <c r="Q1549" s="128"/>
      <c r="R1549" s="128"/>
      <c r="S1549" s="128"/>
      <c r="T1549" s="128"/>
      <c r="U1549" s="129"/>
      <c r="W1549" s="35" t="str">
        <f>"-- "&amp;C1549</f>
        <v>-- バックアップ_検歴情報モジュール_検歴検体材料登録</v>
      </c>
    </row>
    <row r="1550" spans="2:23" ht="18.75" customHeight="1">
      <c r="B1550" s="43" t="s">
        <v>159</v>
      </c>
      <c r="C1550" s="130"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31"/>
      <c r="E1550" s="131"/>
      <c r="F1550" s="131"/>
      <c r="G1550" s="131"/>
      <c r="H1550" s="131"/>
      <c r="I1550" s="131"/>
      <c r="J1550" s="131"/>
      <c r="K1550" s="131"/>
      <c r="L1550" s="131"/>
      <c r="M1550" s="131"/>
      <c r="N1550" s="131"/>
      <c r="O1550" s="131"/>
      <c r="P1550" s="131"/>
      <c r="Q1550" s="131"/>
      <c r="R1550" s="131"/>
      <c r="S1550" s="131"/>
      <c r="T1550" s="131"/>
      <c r="U1550" s="132"/>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19" t="s">
        <v>3470</v>
      </c>
      <c r="D1552" s="120"/>
      <c r="E1552" s="125" t="s">
        <v>162</v>
      </c>
      <c r="H1552" s="36"/>
      <c r="I1552" s="36"/>
      <c r="J1552" s="36"/>
      <c r="K1552" s="36"/>
      <c r="L1552" s="36"/>
      <c r="M1552" s="36"/>
      <c r="N1552" s="36"/>
      <c r="O1552" s="36"/>
      <c r="P1552" s="36"/>
      <c r="Q1552" s="36"/>
      <c r="R1552" s="119" t="str">
        <f>"バックアップ_"&amp;SUBSTITUTE(C1552,"_結合","")</f>
        <v>バックアップ_検歴情報モジュール_検歴検体材料</v>
      </c>
      <c r="S1552" s="120"/>
      <c r="T1552" s="123" t="str">
        <f>エンティティ一覧!$O$2</f>
        <v>milscm_2023_009</v>
      </c>
    </row>
    <row r="1553" spans="2:23" ht="18.75" customHeight="1">
      <c r="C1553" s="121"/>
      <c r="D1553" s="122"/>
      <c r="E1553" s="126"/>
      <c r="F1553" s="37"/>
      <c r="G1553" s="38"/>
      <c r="H1553" s="37"/>
      <c r="I1553" s="37"/>
      <c r="J1553" s="37"/>
      <c r="K1553" s="37"/>
      <c r="L1553" s="37"/>
      <c r="M1553" s="37"/>
      <c r="N1553" s="37"/>
      <c r="O1553" s="37"/>
      <c r="P1553" s="37"/>
      <c r="Q1553" s="37"/>
      <c r="R1553" s="121"/>
      <c r="S1553" s="122"/>
      <c r="T1553" s="124"/>
    </row>
    <row r="1554" spans="2:23" ht="18.75" customHeight="1">
      <c r="F1554" s="39"/>
      <c r="G1554" s="40"/>
    </row>
    <row r="1555" spans="2:23" ht="18.75" customHeight="1">
      <c r="C1555" s="119" t="s">
        <v>3183</v>
      </c>
      <c r="D1555" s="120"/>
      <c r="E1555" s="123" t="str">
        <f>エンティティ一覧!$O$2</f>
        <v>milscm_2023_009</v>
      </c>
      <c r="G1555" s="41"/>
    </row>
    <row r="1556" spans="2:23" ht="18.75" customHeight="1">
      <c r="C1556" s="121"/>
      <c r="D1556" s="122"/>
      <c r="E1556" s="124"/>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3471</v>
      </c>
      <c r="D1560" s="88"/>
      <c r="W1560" s="35" t="str">
        <f>"-- "&amp;B1560&amp;" : "&amp;C1560</f>
        <v>-- SQL_ID : 01_C4-35</v>
      </c>
    </row>
    <row r="1561" spans="2:23" ht="18.75" customHeight="1">
      <c r="B1561" s="43" t="s">
        <v>158</v>
      </c>
      <c r="C1561" s="127" t="str">
        <f>R1564&amp;"登録"</f>
        <v>バックアップ_検歴情報モジュール_検歴項目情報登録</v>
      </c>
      <c r="D1561" s="128"/>
      <c r="E1561" s="128"/>
      <c r="F1561" s="128"/>
      <c r="G1561" s="128"/>
      <c r="H1561" s="128"/>
      <c r="I1561" s="128"/>
      <c r="J1561" s="128"/>
      <c r="K1561" s="128"/>
      <c r="L1561" s="128"/>
      <c r="M1561" s="128"/>
      <c r="N1561" s="128"/>
      <c r="O1561" s="128"/>
      <c r="P1561" s="128"/>
      <c r="Q1561" s="128"/>
      <c r="R1561" s="128"/>
      <c r="S1561" s="128"/>
      <c r="T1561" s="128"/>
      <c r="U1561" s="129"/>
      <c r="W1561" s="35" t="str">
        <f>"-- "&amp;C1561</f>
        <v>-- バックアップ_検歴情報モジュール_検歴項目情報登録</v>
      </c>
    </row>
    <row r="1562" spans="2:23" ht="18.75" customHeight="1">
      <c r="B1562" s="43" t="s">
        <v>159</v>
      </c>
      <c r="C1562" s="130"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31"/>
      <c r="E1562" s="131"/>
      <c r="F1562" s="131"/>
      <c r="G1562" s="131"/>
      <c r="H1562" s="131"/>
      <c r="I1562" s="131"/>
      <c r="J1562" s="131"/>
      <c r="K1562" s="131"/>
      <c r="L1562" s="131"/>
      <c r="M1562" s="131"/>
      <c r="N1562" s="131"/>
      <c r="O1562" s="131"/>
      <c r="P1562" s="131"/>
      <c r="Q1562" s="131"/>
      <c r="R1562" s="131"/>
      <c r="S1562" s="131"/>
      <c r="T1562" s="131"/>
      <c r="U1562" s="132"/>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19" t="s">
        <v>3472</v>
      </c>
      <c r="D1564" s="120"/>
      <c r="E1564" s="125" t="s">
        <v>162</v>
      </c>
      <c r="H1564" s="36"/>
      <c r="I1564" s="36"/>
      <c r="J1564" s="36"/>
      <c r="K1564" s="36"/>
      <c r="L1564" s="36"/>
      <c r="M1564" s="36"/>
      <c r="N1564" s="36"/>
      <c r="O1564" s="36"/>
      <c r="P1564" s="36"/>
      <c r="Q1564" s="36"/>
      <c r="R1564" s="119" t="str">
        <f>"バックアップ_"&amp;SUBSTITUTE(C1564,"_結合","")</f>
        <v>バックアップ_検歴情報モジュール_検歴項目情報</v>
      </c>
      <c r="S1564" s="120"/>
      <c r="T1564" s="123" t="str">
        <f>エンティティ一覧!$O$2</f>
        <v>milscm_2023_009</v>
      </c>
    </row>
    <row r="1565" spans="2:23" ht="18.75" customHeight="1">
      <c r="C1565" s="121"/>
      <c r="D1565" s="122"/>
      <c r="E1565" s="126"/>
      <c r="F1565" s="37"/>
      <c r="G1565" s="38"/>
      <c r="H1565" s="37"/>
      <c r="I1565" s="37"/>
      <c r="J1565" s="37"/>
      <c r="K1565" s="37"/>
      <c r="L1565" s="37"/>
      <c r="M1565" s="37"/>
      <c r="N1565" s="37"/>
      <c r="O1565" s="37"/>
      <c r="P1565" s="37"/>
      <c r="Q1565" s="37"/>
      <c r="R1565" s="121"/>
      <c r="S1565" s="122"/>
      <c r="T1565" s="124"/>
    </row>
    <row r="1566" spans="2:23" ht="18.75" customHeight="1">
      <c r="F1566" s="39"/>
      <c r="G1566" s="40"/>
    </row>
    <row r="1567" spans="2:23" ht="18.75" customHeight="1">
      <c r="C1567" s="119" t="s">
        <v>3183</v>
      </c>
      <c r="D1567" s="120"/>
      <c r="E1567" s="123" t="str">
        <f>エンティティ一覧!$O$2</f>
        <v>milscm_2023_009</v>
      </c>
      <c r="G1567" s="41"/>
    </row>
    <row r="1568" spans="2:23" ht="18.75" customHeight="1">
      <c r="C1568" s="121"/>
      <c r="D1568" s="122"/>
      <c r="E1568" s="124"/>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3473</v>
      </c>
      <c r="D1572" s="88"/>
      <c r="W1572" s="35" t="str">
        <f>"-- "&amp;B1572&amp;" : "&amp;C1572</f>
        <v>-- SQL_ID : 01_C4-37</v>
      </c>
    </row>
    <row r="1573" spans="2:23" ht="18.75" customHeight="1">
      <c r="B1573" s="43" t="s">
        <v>158</v>
      </c>
      <c r="C1573" s="127" t="str">
        <f>R1576&amp;"登録"</f>
        <v>バックアップ_バイタルサインモジュール_バイタルサイン登録</v>
      </c>
      <c r="D1573" s="128"/>
      <c r="E1573" s="128"/>
      <c r="F1573" s="128"/>
      <c r="G1573" s="128"/>
      <c r="H1573" s="128"/>
      <c r="I1573" s="128"/>
      <c r="J1573" s="128"/>
      <c r="K1573" s="128"/>
      <c r="L1573" s="128"/>
      <c r="M1573" s="128"/>
      <c r="N1573" s="128"/>
      <c r="O1573" s="128"/>
      <c r="P1573" s="128"/>
      <c r="Q1573" s="128"/>
      <c r="R1573" s="128"/>
      <c r="S1573" s="128"/>
      <c r="T1573" s="128"/>
      <c r="U1573" s="129"/>
      <c r="W1573" s="35" t="str">
        <f>"-- "&amp;C1573</f>
        <v>-- バックアップ_バイタルサインモジュール_バイタルサイン登録</v>
      </c>
    </row>
    <row r="1574" spans="2:23" ht="18.75" customHeight="1">
      <c r="B1574" s="43" t="s">
        <v>159</v>
      </c>
      <c r="C1574" s="130"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31"/>
      <c r="E1574" s="131"/>
      <c r="F1574" s="131"/>
      <c r="G1574" s="131"/>
      <c r="H1574" s="131"/>
      <c r="I1574" s="131"/>
      <c r="J1574" s="131"/>
      <c r="K1574" s="131"/>
      <c r="L1574" s="131"/>
      <c r="M1574" s="131"/>
      <c r="N1574" s="131"/>
      <c r="O1574" s="131"/>
      <c r="P1574" s="131"/>
      <c r="Q1574" s="131"/>
      <c r="R1574" s="131"/>
      <c r="S1574" s="131"/>
      <c r="T1574" s="131"/>
      <c r="U1574" s="132"/>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19" t="s">
        <v>3474</v>
      </c>
      <c r="D1576" s="120"/>
      <c r="E1576" s="125" t="s">
        <v>162</v>
      </c>
      <c r="H1576" s="36"/>
      <c r="I1576" s="36"/>
      <c r="J1576" s="36"/>
      <c r="K1576" s="36"/>
      <c r="L1576" s="36"/>
      <c r="M1576" s="36"/>
      <c r="N1576" s="36"/>
      <c r="O1576" s="36"/>
      <c r="P1576" s="36"/>
      <c r="Q1576" s="36"/>
      <c r="R1576" s="133" t="str">
        <f>"バックアップ_"&amp;SUBSTITUTE(C1576,"_結合","")</f>
        <v>バックアップ_バイタルサインモジュール_バイタルサイン</v>
      </c>
      <c r="S1576" s="134"/>
      <c r="T1576" s="123" t="str">
        <f>エンティティ一覧!$O$2</f>
        <v>milscm_2023_009</v>
      </c>
    </row>
    <row r="1577" spans="2:23" ht="18.75" customHeight="1">
      <c r="C1577" s="121"/>
      <c r="D1577" s="122"/>
      <c r="E1577" s="126"/>
      <c r="F1577" s="37"/>
      <c r="G1577" s="38"/>
      <c r="H1577" s="37"/>
      <c r="I1577" s="37"/>
      <c r="J1577" s="37"/>
      <c r="K1577" s="37"/>
      <c r="L1577" s="37"/>
      <c r="M1577" s="37"/>
      <c r="N1577" s="37"/>
      <c r="O1577" s="37"/>
      <c r="P1577" s="37"/>
      <c r="Q1577" s="37"/>
      <c r="R1577" s="135"/>
      <c r="S1577" s="136"/>
      <c r="T1577" s="124"/>
    </row>
    <row r="1578" spans="2:23" ht="18.75" customHeight="1">
      <c r="F1578" s="39"/>
      <c r="G1578" s="40"/>
    </row>
    <row r="1579" spans="2:23" ht="18.75" customHeight="1">
      <c r="C1579" s="119" t="s">
        <v>3183</v>
      </c>
      <c r="D1579" s="120"/>
      <c r="E1579" s="123" t="str">
        <f>エンティティ一覧!$O$2</f>
        <v>milscm_2023_009</v>
      </c>
      <c r="G1579" s="41"/>
    </row>
    <row r="1580" spans="2:23" ht="18.75" customHeight="1">
      <c r="C1580" s="121"/>
      <c r="D1580" s="122"/>
      <c r="E1580" s="124"/>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3475</v>
      </c>
      <c r="D1584" s="88"/>
      <c r="W1584" s="35" t="str">
        <f>"-- "&amp;B1584&amp;" : "&amp;C1584</f>
        <v>-- SQL_ID : 01_C4-38</v>
      </c>
    </row>
    <row r="1585" spans="2:23" ht="18.75" customHeight="1">
      <c r="B1585" s="43" t="s">
        <v>158</v>
      </c>
      <c r="C1585" s="127" t="str">
        <f>R1588&amp;"登録"</f>
        <v>バックアップ_バイタルサインモジュール_記録項目登録</v>
      </c>
      <c r="D1585" s="128"/>
      <c r="E1585" s="128"/>
      <c r="F1585" s="128"/>
      <c r="G1585" s="128"/>
      <c r="H1585" s="128"/>
      <c r="I1585" s="128"/>
      <c r="J1585" s="128"/>
      <c r="K1585" s="128"/>
      <c r="L1585" s="128"/>
      <c r="M1585" s="128"/>
      <c r="N1585" s="128"/>
      <c r="O1585" s="128"/>
      <c r="P1585" s="128"/>
      <c r="Q1585" s="128"/>
      <c r="R1585" s="128"/>
      <c r="S1585" s="128"/>
      <c r="T1585" s="128"/>
      <c r="U1585" s="129"/>
      <c r="W1585" s="35" t="str">
        <f>"-- "&amp;C1585</f>
        <v>-- バックアップ_バイタルサインモジュール_記録項目登録</v>
      </c>
    </row>
    <row r="1586" spans="2:23" ht="18.75" customHeight="1">
      <c r="B1586" s="43" t="s">
        <v>159</v>
      </c>
      <c r="C1586" s="130"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31"/>
      <c r="E1586" s="131"/>
      <c r="F1586" s="131"/>
      <c r="G1586" s="131"/>
      <c r="H1586" s="131"/>
      <c r="I1586" s="131"/>
      <c r="J1586" s="131"/>
      <c r="K1586" s="131"/>
      <c r="L1586" s="131"/>
      <c r="M1586" s="131"/>
      <c r="N1586" s="131"/>
      <c r="O1586" s="131"/>
      <c r="P1586" s="131"/>
      <c r="Q1586" s="131"/>
      <c r="R1586" s="131"/>
      <c r="S1586" s="131"/>
      <c r="T1586" s="131"/>
      <c r="U1586" s="132"/>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19" t="s">
        <v>3476</v>
      </c>
      <c r="D1588" s="120"/>
      <c r="E1588" s="125" t="s">
        <v>162</v>
      </c>
      <c r="H1588" s="36"/>
      <c r="I1588" s="36"/>
      <c r="J1588" s="36"/>
      <c r="K1588" s="36"/>
      <c r="L1588" s="36"/>
      <c r="M1588" s="36"/>
      <c r="N1588" s="36"/>
      <c r="O1588" s="36"/>
      <c r="P1588" s="36"/>
      <c r="Q1588" s="36"/>
      <c r="R1588" s="133" t="str">
        <f>"バックアップ_"&amp;SUBSTITUTE(C1588,"_結合","")</f>
        <v>バックアップ_バイタルサインモジュール_記録項目</v>
      </c>
      <c r="S1588" s="134"/>
      <c r="T1588" s="123" t="str">
        <f>エンティティ一覧!$O$2</f>
        <v>milscm_2023_009</v>
      </c>
    </row>
    <row r="1589" spans="2:23" ht="18.75" customHeight="1">
      <c r="C1589" s="121"/>
      <c r="D1589" s="122"/>
      <c r="E1589" s="126"/>
      <c r="F1589" s="37"/>
      <c r="G1589" s="38"/>
      <c r="H1589" s="37"/>
      <c r="I1589" s="37"/>
      <c r="J1589" s="37"/>
      <c r="K1589" s="37"/>
      <c r="L1589" s="37"/>
      <c r="M1589" s="37"/>
      <c r="N1589" s="37"/>
      <c r="O1589" s="37"/>
      <c r="P1589" s="37"/>
      <c r="Q1589" s="37"/>
      <c r="R1589" s="135"/>
      <c r="S1589" s="136"/>
      <c r="T1589" s="124"/>
    </row>
    <row r="1590" spans="2:23" ht="18.75" customHeight="1">
      <c r="F1590" s="39"/>
      <c r="G1590" s="40"/>
    </row>
    <row r="1591" spans="2:23" ht="18.75" customHeight="1">
      <c r="C1591" s="119" t="s">
        <v>3183</v>
      </c>
      <c r="D1591" s="120"/>
      <c r="E1591" s="123" t="str">
        <f>エンティティ一覧!$O$2</f>
        <v>milscm_2023_009</v>
      </c>
      <c r="G1591" s="41"/>
    </row>
    <row r="1592" spans="2:23" ht="18.75" customHeight="1">
      <c r="C1592" s="121"/>
      <c r="D1592" s="122"/>
      <c r="E1592" s="124"/>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3477</v>
      </c>
      <c r="D1596" s="88"/>
      <c r="W1596" s="35" t="str">
        <f>"-- "&amp;B1596&amp;" : "&amp;C1596</f>
        <v>-- SQL_ID : 01_C4-40</v>
      </c>
    </row>
    <row r="1597" spans="2:23" ht="18.75" customHeight="1">
      <c r="B1597" s="43" t="s">
        <v>158</v>
      </c>
      <c r="C1597" s="127" t="str">
        <f>R1600&amp;"登録"</f>
        <v>バックアップ_体温表モジュール_バイタルサイン登録</v>
      </c>
      <c r="D1597" s="128"/>
      <c r="E1597" s="128"/>
      <c r="F1597" s="128"/>
      <c r="G1597" s="128"/>
      <c r="H1597" s="128"/>
      <c r="I1597" s="128"/>
      <c r="J1597" s="128"/>
      <c r="K1597" s="128"/>
      <c r="L1597" s="128"/>
      <c r="M1597" s="128"/>
      <c r="N1597" s="128"/>
      <c r="O1597" s="128"/>
      <c r="P1597" s="128"/>
      <c r="Q1597" s="128"/>
      <c r="R1597" s="128"/>
      <c r="S1597" s="128"/>
      <c r="T1597" s="128"/>
      <c r="U1597" s="129"/>
      <c r="W1597" s="35" t="str">
        <f>"-- "&amp;C1597</f>
        <v>-- バックアップ_体温表モジュール_バイタルサイン登録</v>
      </c>
    </row>
    <row r="1598" spans="2:23" ht="18.75" customHeight="1">
      <c r="B1598" s="43" t="s">
        <v>159</v>
      </c>
      <c r="C1598" s="130"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31"/>
      <c r="E1598" s="131"/>
      <c r="F1598" s="131"/>
      <c r="G1598" s="131"/>
      <c r="H1598" s="131"/>
      <c r="I1598" s="131"/>
      <c r="J1598" s="131"/>
      <c r="K1598" s="131"/>
      <c r="L1598" s="131"/>
      <c r="M1598" s="131"/>
      <c r="N1598" s="131"/>
      <c r="O1598" s="131"/>
      <c r="P1598" s="131"/>
      <c r="Q1598" s="131"/>
      <c r="R1598" s="131"/>
      <c r="S1598" s="131"/>
      <c r="T1598" s="131"/>
      <c r="U1598" s="132"/>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19" t="s">
        <v>3478</v>
      </c>
      <c r="D1600" s="120"/>
      <c r="E1600" s="125" t="s">
        <v>162</v>
      </c>
      <c r="H1600" s="36"/>
      <c r="I1600" s="36"/>
      <c r="J1600" s="36"/>
      <c r="K1600" s="36"/>
      <c r="L1600" s="36"/>
      <c r="M1600" s="36"/>
      <c r="N1600" s="36"/>
      <c r="O1600" s="36"/>
      <c r="P1600" s="36"/>
      <c r="Q1600" s="36"/>
      <c r="R1600" s="133" t="str">
        <f>"バックアップ_"&amp;SUBSTITUTE(C1600,"_結合","")</f>
        <v>バックアップ_体温表モジュール_バイタルサイン</v>
      </c>
      <c r="S1600" s="134"/>
      <c r="T1600" s="123" t="str">
        <f>エンティティ一覧!$O$2</f>
        <v>milscm_2023_009</v>
      </c>
    </row>
    <row r="1601" spans="2:23" ht="18.75" customHeight="1">
      <c r="C1601" s="121"/>
      <c r="D1601" s="122"/>
      <c r="E1601" s="126"/>
      <c r="F1601" s="37"/>
      <c r="G1601" s="38"/>
      <c r="H1601" s="37"/>
      <c r="I1601" s="37"/>
      <c r="J1601" s="37"/>
      <c r="K1601" s="37"/>
      <c r="L1601" s="37"/>
      <c r="M1601" s="37"/>
      <c r="N1601" s="37"/>
      <c r="O1601" s="37"/>
      <c r="P1601" s="37"/>
      <c r="Q1601" s="37"/>
      <c r="R1601" s="135"/>
      <c r="S1601" s="136"/>
      <c r="T1601" s="124"/>
    </row>
    <row r="1602" spans="2:23" ht="18.75" customHeight="1">
      <c r="F1602" s="39"/>
      <c r="G1602" s="40"/>
    </row>
    <row r="1603" spans="2:23" ht="18.75" customHeight="1">
      <c r="C1603" s="119" t="s">
        <v>3183</v>
      </c>
      <c r="D1603" s="120"/>
      <c r="E1603" s="123" t="str">
        <f>エンティティ一覧!$O$2</f>
        <v>milscm_2023_009</v>
      </c>
      <c r="G1603" s="41"/>
    </row>
    <row r="1604" spans="2:23" ht="18.75" customHeight="1">
      <c r="C1604" s="121"/>
      <c r="D1604" s="122"/>
      <c r="E1604" s="124"/>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3479</v>
      </c>
      <c r="D1608" s="88"/>
      <c r="W1608" s="35" t="str">
        <f>"-- "&amp;B1608&amp;" : "&amp;C1608</f>
        <v>-- SQL_ID : 01_C4-41</v>
      </c>
    </row>
    <row r="1609" spans="2:23" ht="18.75" customHeight="1">
      <c r="B1609" s="43" t="s">
        <v>158</v>
      </c>
      <c r="C1609" s="127" t="str">
        <f>R1612&amp;"登録"</f>
        <v>バックアップ_体温表モジュール_記録項目登録</v>
      </c>
      <c r="D1609" s="128"/>
      <c r="E1609" s="128"/>
      <c r="F1609" s="128"/>
      <c r="G1609" s="128"/>
      <c r="H1609" s="128"/>
      <c r="I1609" s="128"/>
      <c r="J1609" s="128"/>
      <c r="K1609" s="128"/>
      <c r="L1609" s="128"/>
      <c r="M1609" s="128"/>
      <c r="N1609" s="128"/>
      <c r="O1609" s="128"/>
      <c r="P1609" s="128"/>
      <c r="Q1609" s="128"/>
      <c r="R1609" s="128"/>
      <c r="S1609" s="128"/>
      <c r="T1609" s="128"/>
      <c r="U1609" s="129"/>
      <c r="W1609" s="35" t="str">
        <f>"-- "&amp;C1609</f>
        <v>-- バックアップ_体温表モジュール_記録項目登録</v>
      </c>
    </row>
    <row r="1610" spans="2:23" ht="18.75" customHeight="1">
      <c r="B1610" s="43" t="s">
        <v>159</v>
      </c>
      <c r="C1610" s="130"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31"/>
      <c r="E1610" s="131"/>
      <c r="F1610" s="131"/>
      <c r="G1610" s="131"/>
      <c r="H1610" s="131"/>
      <c r="I1610" s="131"/>
      <c r="J1610" s="131"/>
      <c r="K1610" s="131"/>
      <c r="L1610" s="131"/>
      <c r="M1610" s="131"/>
      <c r="N1610" s="131"/>
      <c r="O1610" s="131"/>
      <c r="P1610" s="131"/>
      <c r="Q1610" s="131"/>
      <c r="R1610" s="131"/>
      <c r="S1610" s="131"/>
      <c r="T1610" s="131"/>
      <c r="U1610" s="132"/>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19" t="s">
        <v>3480</v>
      </c>
      <c r="D1612" s="120"/>
      <c r="E1612" s="125" t="s">
        <v>162</v>
      </c>
      <c r="H1612" s="36"/>
      <c r="I1612" s="36"/>
      <c r="J1612" s="36"/>
      <c r="K1612" s="36"/>
      <c r="L1612" s="36"/>
      <c r="M1612" s="36"/>
      <c r="N1612" s="36"/>
      <c r="O1612" s="36"/>
      <c r="P1612" s="36"/>
      <c r="Q1612" s="36"/>
      <c r="R1612" s="133" t="str">
        <f>"バックアップ_"&amp;SUBSTITUTE(C1612,"_結合","")</f>
        <v>バックアップ_体温表モジュール_記録項目</v>
      </c>
      <c r="S1612" s="134"/>
      <c r="T1612" s="123" t="str">
        <f>エンティティ一覧!$O$2</f>
        <v>milscm_2023_009</v>
      </c>
    </row>
    <row r="1613" spans="2:23" ht="18.75" customHeight="1">
      <c r="C1613" s="121"/>
      <c r="D1613" s="122"/>
      <c r="E1613" s="126"/>
      <c r="F1613" s="37"/>
      <c r="G1613" s="38"/>
      <c r="H1613" s="37"/>
      <c r="I1613" s="37"/>
      <c r="J1613" s="37"/>
      <c r="K1613" s="37"/>
      <c r="L1613" s="37"/>
      <c r="M1613" s="37"/>
      <c r="N1613" s="37"/>
      <c r="O1613" s="37"/>
      <c r="P1613" s="37"/>
      <c r="Q1613" s="37"/>
      <c r="R1613" s="135"/>
      <c r="S1613" s="136"/>
      <c r="T1613" s="124"/>
    </row>
    <row r="1614" spans="2:23" ht="18.75" customHeight="1">
      <c r="F1614" s="39"/>
      <c r="G1614" s="40"/>
    </row>
    <row r="1615" spans="2:23" ht="18.75" customHeight="1">
      <c r="C1615" s="119" t="s">
        <v>3183</v>
      </c>
      <c r="D1615" s="120"/>
      <c r="E1615" s="123" t="str">
        <f>エンティティ一覧!$O$2</f>
        <v>milscm_2023_009</v>
      </c>
      <c r="G1615" s="41"/>
    </row>
    <row r="1616" spans="2:23" ht="18.75" customHeight="1">
      <c r="C1616" s="121"/>
      <c r="D1616" s="122"/>
      <c r="E1616" s="124"/>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73"/>
  <sheetViews>
    <sheetView showGridLines="0" topLeftCell="A43"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174</v>
      </c>
      <c r="D3" s="89"/>
      <c r="W3" s="35" t="str">
        <f>"-- "&amp;B3&amp;" : "&amp;C3</f>
        <v>-- SQL_ID : 11_01</v>
      </c>
    </row>
    <row r="4" spans="1:23" ht="18.75" customHeight="1">
      <c r="B4" s="43" t="s">
        <v>158</v>
      </c>
      <c r="C4" s="127" t="str">
        <f>R7&amp;"登録"</f>
        <v>組入れ_対象施設登録</v>
      </c>
      <c r="D4" s="128"/>
      <c r="E4" s="128"/>
      <c r="F4" s="128"/>
      <c r="G4" s="128"/>
      <c r="H4" s="128"/>
      <c r="I4" s="128"/>
      <c r="J4" s="128"/>
      <c r="K4" s="128"/>
      <c r="L4" s="128"/>
      <c r="M4" s="128"/>
      <c r="N4" s="128"/>
      <c r="O4" s="128"/>
      <c r="P4" s="128"/>
      <c r="Q4" s="128"/>
      <c r="R4" s="128"/>
      <c r="S4" s="128"/>
      <c r="T4" s="128"/>
      <c r="U4" s="129"/>
      <c r="W4" s="35" t="str">
        <f>"-- "&amp;C4</f>
        <v>-- 組入れ_対象施設登録</v>
      </c>
    </row>
    <row r="5" spans="1:23" ht="18.75" customHeight="1">
      <c r="B5" s="43" t="s">
        <v>159</v>
      </c>
      <c r="C5" s="130" t="str">
        <f>C7&amp;"テーブルから組入れ条件で絞り込んだ結果を"&amp;R7&amp;"テーブルに格納する。"</f>
        <v>バックアップ_処理対象施設マスタテーブルから組入れ条件で絞り込んだ結果を組入れ_対象施設テーブルに格納する。</v>
      </c>
      <c r="D5" s="131"/>
      <c r="E5" s="131"/>
      <c r="F5" s="131"/>
      <c r="G5" s="131"/>
      <c r="H5" s="131"/>
      <c r="I5" s="131"/>
      <c r="J5" s="131"/>
      <c r="K5" s="131"/>
      <c r="L5" s="131"/>
      <c r="M5" s="131"/>
      <c r="N5" s="131"/>
      <c r="O5" s="131"/>
      <c r="P5" s="131"/>
      <c r="Q5" s="131"/>
      <c r="R5" s="131"/>
      <c r="S5" s="131"/>
      <c r="T5" s="131"/>
      <c r="U5" s="132"/>
      <c r="W5" s="35" t="str">
        <f>"-- "&amp;C5</f>
        <v>-- バックアップ_処理対象施設マスタテーブルから組入れ条件で絞り込んだ結果を組入れ_対象施設テーブルに格納する。</v>
      </c>
    </row>
    <row r="7" spans="1:23" ht="18.75" customHeight="1">
      <c r="C7" s="119" t="s">
        <v>3858</v>
      </c>
      <c r="D7" s="120"/>
      <c r="E7" s="123" t="str">
        <f>エンティティ一覧!$O$2</f>
        <v>milscm_2023_009</v>
      </c>
      <c r="F7" s="36"/>
      <c r="G7" s="36"/>
      <c r="H7" s="36"/>
      <c r="I7" s="36"/>
      <c r="J7" s="36"/>
      <c r="M7" s="36"/>
      <c r="N7" s="36"/>
      <c r="O7" s="36"/>
      <c r="P7" s="36"/>
      <c r="Q7" s="36"/>
      <c r="R7" s="119" t="s">
        <v>3669</v>
      </c>
      <c r="S7" s="120"/>
      <c r="T7" s="123" t="str">
        <f>エンティティ一覧!$O$2</f>
        <v>milscm_2023_009</v>
      </c>
      <c r="W7" s="35" t="s">
        <v>3670</v>
      </c>
    </row>
    <row r="8" spans="1:23" ht="18.75" customHeight="1">
      <c r="C8" s="121"/>
      <c r="D8" s="122"/>
      <c r="E8" s="124"/>
      <c r="F8" s="37"/>
      <c r="G8" s="37"/>
      <c r="H8" s="37"/>
      <c r="I8" s="37"/>
      <c r="J8" s="37"/>
      <c r="K8" s="37"/>
      <c r="L8" s="38"/>
      <c r="M8" s="37"/>
      <c r="N8" s="37"/>
      <c r="O8" s="37"/>
      <c r="P8" s="37"/>
      <c r="Q8" s="37"/>
      <c r="R8" s="121"/>
      <c r="S8" s="122"/>
      <c r="T8" s="124"/>
    </row>
    <row r="9" spans="1:23" ht="18.75" customHeight="1">
      <c r="K9" s="39"/>
      <c r="L9" s="40"/>
    </row>
    <row r="10" spans="1:23" ht="18.75" customHeight="1">
      <c r="C10" s="119" t="s">
        <v>3668</v>
      </c>
      <c r="D10" s="120"/>
      <c r="E10" s="125" t="s">
        <v>162</v>
      </c>
      <c r="F10" s="36"/>
      <c r="G10" s="36"/>
      <c r="H10" s="36"/>
      <c r="I10" s="36"/>
      <c r="J10" s="36"/>
      <c r="L10" s="41"/>
    </row>
    <row r="11" spans="1:23" ht="18.75" customHeight="1">
      <c r="C11" s="121"/>
      <c r="D11" s="122"/>
      <c r="E11" s="126"/>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4018</v>
      </c>
      <c r="D15" s="108"/>
      <c r="W15" s="35" t="str">
        <f>"-- "&amp;B15&amp;" : "&amp;C15</f>
        <v>-- SQL_ID : 11_01-01</v>
      </c>
    </row>
    <row r="16" spans="1:23" ht="18.75" customHeight="1">
      <c r="B16" s="43" t="s">
        <v>158</v>
      </c>
      <c r="C16" s="127" t="str">
        <f>R19&amp;"更新"</f>
        <v>組入れ_対象施設更新</v>
      </c>
      <c r="D16" s="128"/>
      <c r="E16" s="128"/>
      <c r="F16" s="128"/>
      <c r="G16" s="128"/>
      <c r="H16" s="128"/>
      <c r="I16" s="128"/>
      <c r="J16" s="128"/>
      <c r="K16" s="128"/>
      <c r="L16" s="128"/>
      <c r="M16" s="128"/>
      <c r="N16" s="128"/>
      <c r="O16" s="128"/>
      <c r="P16" s="128"/>
      <c r="Q16" s="128"/>
      <c r="R16" s="128"/>
      <c r="S16" s="128"/>
      <c r="T16" s="128"/>
      <c r="U16" s="129"/>
      <c r="W16" s="35" t="str">
        <f>"-- "&amp;C16</f>
        <v>-- 組入れ_対象施設更新</v>
      </c>
    </row>
    <row r="17" spans="1:23" ht="18.75" customHeight="1">
      <c r="B17" s="43" t="s">
        <v>159</v>
      </c>
      <c r="C17" s="130" t="s">
        <v>4067</v>
      </c>
      <c r="D17" s="131"/>
      <c r="E17" s="131"/>
      <c r="F17" s="131"/>
      <c r="G17" s="131"/>
      <c r="H17" s="131"/>
      <c r="I17" s="131"/>
      <c r="J17" s="131"/>
      <c r="K17" s="131"/>
      <c r="L17" s="131"/>
      <c r="M17" s="131"/>
      <c r="N17" s="131"/>
      <c r="O17" s="131"/>
      <c r="P17" s="131"/>
      <c r="Q17" s="131"/>
      <c r="R17" s="131"/>
      <c r="S17" s="131"/>
      <c r="T17" s="131"/>
      <c r="U17" s="132"/>
      <c r="W17" s="35" t="str">
        <f>"-- "&amp;C17</f>
        <v>-- 組入れ_対象施設のデータ利用開始年月、データ利用終了年月の値を更新する。</v>
      </c>
    </row>
    <row r="19" spans="1:23" ht="18.75" customHeight="1">
      <c r="C19" s="119" t="s">
        <v>3669</v>
      </c>
      <c r="D19" s="120"/>
      <c r="E19" s="123" t="str">
        <f>エンティティ一覧!$O$2</f>
        <v>milscm_2023_009</v>
      </c>
      <c r="F19" s="36"/>
      <c r="G19" s="36"/>
      <c r="H19" s="36"/>
      <c r="I19" s="36"/>
      <c r="J19" s="36"/>
      <c r="K19" s="36"/>
      <c r="L19" s="36"/>
      <c r="M19" s="36"/>
      <c r="N19" s="36"/>
      <c r="O19" s="36"/>
      <c r="P19" s="36"/>
      <c r="Q19" s="36"/>
      <c r="R19" s="119" t="s">
        <v>3669</v>
      </c>
      <c r="S19" s="120"/>
      <c r="T19" s="123" t="str">
        <f>エンティティ一覧!$O$2</f>
        <v>milscm_2023_009</v>
      </c>
    </row>
    <row r="20" spans="1:23" ht="18.75" customHeight="1">
      <c r="C20" s="121"/>
      <c r="D20" s="122"/>
      <c r="E20" s="124"/>
      <c r="F20" s="37"/>
      <c r="G20" s="37"/>
      <c r="H20" s="37" t="s">
        <v>4021</v>
      </c>
      <c r="I20" s="37"/>
      <c r="J20" s="37"/>
      <c r="K20" s="37"/>
      <c r="L20" s="37"/>
      <c r="M20" s="37"/>
      <c r="N20" s="37"/>
      <c r="O20" s="37"/>
      <c r="P20" s="37"/>
      <c r="Q20" s="37"/>
      <c r="R20" s="121"/>
      <c r="S20" s="122"/>
      <c r="T20" s="124"/>
    </row>
    <row r="22" spans="1:23" ht="18.75" customHeight="1" thickBot="1">
      <c r="B22" s="42"/>
      <c r="C22" s="42"/>
      <c r="D22" s="42"/>
      <c r="E22" s="42"/>
      <c r="F22" s="42"/>
      <c r="G22" s="42"/>
      <c r="H22" s="42"/>
      <c r="I22" s="42"/>
      <c r="J22" s="42"/>
      <c r="K22" s="42"/>
      <c r="L22" s="42"/>
      <c r="M22" s="42"/>
      <c r="N22" s="42"/>
      <c r="O22" s="42"/>
      <c r="P22" s="42"/>
      <c r="Q22" s="42"/>
      <c r="R22" s="42"/>
      <c r="S22" s="42"/>
      <c r="T22" s="42"/>
      <c r="U22" s="42"/>
    </row>
    <row r="24" spans="1:23" ht="18.75" customHeight="1">
      <c r="A24" s="77"/>
      <c r="B24" s="43" t="s">
        <v>163</v>
      </c>
      <c r="C24" s="51" t="s">
        <v>189</v>
      </c>
      <c r="D24" s="50"/>
      <c r="W24" s="35" t="str">
        <f>"-- "&amp;B24&amp;" : "&amp;C24</f>
        <v>-- SQL_ID : 11_02</v>
      </c>
    </row>
    <row r="25" spans="1:23" ht="18.75" customHeight="1">
      <c r="B25" s="43" t="s">
        <v>158</v>
      </c>
      <c r="C25" s="127" t="str">
        <f>R28&amp;"登録"</f>
        <v>組入れ_対象疾患登録</v>
      </c>
      <c r="D25" s="128"/>
      <c r="E25" s="128"/>
      <c r="F25" s="128"/>
      <c r="G25" s="128"/>
      <c r="H25" s="128"/>
      <c r="I25" s="128"/>
      <c r="J25" s="128"/>
      <c r="K25" s="128"/>
      <c r="L25" s="128"/>
      <c r="M25" s="128"/>
      <c r="N25" s="128"/>
      <c r="O25" s="128"/>
      <c r="P25" s="128"/>
      <c r="Q25" s="128"/>
      <c r="R25" s="128"/>
      <c r="S25" s="128"/>
      <c r="T25" s="128"/>
      <c r="U25" s="129"/>
      <c r="W25" s="35" t="str">
        <f>"-- "&amp;C25</f>
        <v>-- 組入れ_対象疾患登録</v>
      </c>
    </row>
    <row r="26" spans="1:23" ht="18.75" customHeight="1">
      <c r="B26" s="43" t="s">
        <v>159</v>
      </c>
      <c r="C26" s="130" t="str">
        <f>C28&amp;"テーブルから組入れ条件で絞り込んだ結果を"&amp;R28&amp;"テーブルに格納する。"</f>
        <v>バックアップ_疾患データ_組み入れ第一条件テーブルから組入れ条件で絞り込んだ結果を組入れ_対象疾患テーブルに格納する。</v>
      </c>
      <c r="D26" s="131"/>
      <c r="E26" s="131"/>
      <c r="F26" s="131"/>
      <c r="G26" s="131"/>
      <c r="H26" s="131"/>
      <c r="I26" s="131"/>
      <c r="J26" s="131"/>
      <c r="K26" s="131"/>
      <c r="L26" s="131"/>
      <c r="M26" s="131"/>
      <c r="N26" s="131"/>
      <c r="O26" s="131"/>
      <c r="P26" s="131"/>
      <c r="Q26" s="131"/>
      <c r="R26" s="131"/>
      <c r="S26" s="131"/>
      <c r="T26" s="131"/>
      <c r="U26" s="132"/>
      <c r="W26" s="35" t="str">
        <f>"-- "&amp;C26</f>
        <v>-- バックアップ_疾患データ_組み入れ第一条件テーブルから組入れ条件で絞り込んだ結果を組入れ_対象疾患テーブルに格納する。</v>
      </c>
    </row>
    <row r="28" spans="1:23" ht="18.75" customHeight="1">
      <c r="C28" s="119" t="s">
        <v>3786</v>
      </c>
      <c r="D28" s="120"/>
      <c r="E28" s="123" t="str">
        <f>エンティティ一覧!$O$2</f>
        <v>milscm_2023_009</v>
      </c>
      <c r="F28" s="36"/>
      <c r="G28" s="36"/>
      <c r="H28" s="36"/>
      <c r="I28" s="36"/>
      <c r="J28" s="36"/>
      <c r="M28" s="36"/>
      <c r="N28" s="36"/>
      <c r="O28" s="36"/>
      <c r="P28" s="36"/>
      <c r="Q28" s="36"/>
      <c r="R28" s="119" t="s">
        <v>3671</v>
      </c>
      <c r="S28" s="120"/>
      <c r="T28" s="123" t="str">
        <f>エンティティ一覧!$O$2</f>
        <v>milscm_2023_009</v>
      </c>
    </row>
    <row r="29" spans="1:23" ht="18.75" customHeight="1">
      <c r="C29" s="121"/>
      <c r="D29" s="122"/>
      <c r="E29" s="124"/>
      <c r="F29" s="37"/>
      <c r="G29" s="37"/>
      <c r="H29" s="37"/>
      <c r="I29" s="37"/>
      <c r="J29" s="37"/>
      <c r="K29" s="37"/>
      <c r="L29" s="38"/>
      <c r="M29" s="37"/>
      <c r="N29" s="37"/>
      <c r="O29" s="37"/>
      <c r="P29" s="37"/>
      <c r="Q29" s="37"/>
      <c r="R29" s="121"/>
      <c r="S29" s="122"/>
      <c r="T29" s="124"/>
    </row>
    <row r="30" spans="1:23" ht="18.75" customHeight="1">
      <c r="K30" s="39"/>
      <c r="L30" s="40"/>
    </row>
    <row r="31" spans="1:23" ht="18.75" customHeight="1">
      <c r="H31" s="119" t="s">
        <v>3669</v>
      </c>
      <c r="I31" s="120"/>
      <c r="J31" s="123" t="str">
        <f>エンティティ一覧!$O$2</f>
        <v>milscm_2023_009</v>
      </c>
      <c r="L31" s="41"/>
    </row>
    <row r="32" spans="1:23" ht="18.75" customHeight="1">
      <c r="H32" s="121"/>
      <c r="I32" s="122"/>
      <c r="J32" s="124"/>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190</v>
      </c>
      <c r="D36" s="50"/>
      <c r="W36" s="35" t="str">
        <f>"-- "&amp;B36&amp;" : "&amp;C36</f>
        <v>-- SQL_ID : 11_03</v>
      </c>
    </row>
    <row r="37" spans="2:23" ht="18.75" customHeight="1">
      <c r="B37" s="43" t="s">
        <v>158</v>
      </c>
      <c r="C37" s="127" t="str">
        <f>R40&amp;"登録"</f>
        <v>組入れ_対象診療行為登録</v>
      </c>
      <c r="D37" s="128"/>
      <c r="E37" s="128"/>
      <c r="F37" s="128"/>
      <c r="G37" s="128"/>
      <c r="H37" s="128"/>
      <c r="I37" s="128"/>
      <c r="J37" s="128"/>
      <c r="K37" s="128"/>
      <c r="L37" s="128"/>
      <c r="M37" s="128"/>
      <c r="N37" s="128"/>
      <c r="O37" s="128"/>
      <c r="P37" s="128"/>
      <c r="Q37" s="128"/>
      <c r="R37" s="128"/>
      <c r="S37" s="128"/>
      <c r="T37" s="128"/>
      <c r="U37" s="129"/>
      <c r="W37" s="35" t="str">
        <f>"-- "&amp;C37</f>
        <v>-- 組入れ_対象診療行為登録</v>
      </c>
    </row>
    <row r="38" spans="2:23" ht="18.75" customHeight="1">
      <c r="B38" s="43" t="s">
        <v>159</v>
      </c>
      <c r="C38" s="130" t="str">
        <f>C40&amp;"テーブルから組入れ条件で絞り込んだ結果を"&amp;R40&amp;"テーブルに格納する。"</f>
        <v>バックアップ_診療行為データテーブルから組入れ条件で絞り込んだ結果を組入れ_対象診療行為テーブルに格納する。</v>
      </c>
      <c r="D38" s="131"/>
      <c r="E38" s="131"/>
      <c r="F38" s="131"/>
      <c r="G38" s="131"/>
      <c r="H38" s="131"/>
      <c r="I38" s="131"/>
      <c r="J38" s="131"/>
      <c r="K38" s="131"/>
      <c r="L38" s="131"/>
      <c r="M38" s="131"/>
      <c r="N38" s="131"/>
      <c r="O38" s="131"/>
      <c r="P38" s="131"/>
      <c r="Q38" s="131"/>
      <c r="R38" s="131"/>
      <c r="S38" s="131"/>
      <c r="T38" s="131"/>
      <c r="U38" s="132"/>
      <c r="W38" s="35" t="str">
        <f>"-- "&amp;C38</f>
        <v>-- バックアップ_診療行為データテーブルから組入れ条件で絞り込んだ結果を組入れ_対象診療行為テーブルに格納する。</v>
      </c>
    </row>
    <row r="40" spans="2:23" ht="18.75" customHeight="1">
      <c r="C40" s="119" t="s">
        <v>3795</v>
      </c>
      <c r="D40" s="120"/>
      <c r="E40" s="123" t="str">
        <f>エンティティ一覧!$O$2</f>
        <v>milscm_2023_009</v>
      </c>
      <c r="F40" s="36"/>
      <c r="G40" s="36"/>
      <c r="H40" s="36"/>
      <c r="I40" s="36"/>
      <c r="J40" s="36"/>
      <c r="K40" s="36"/>
      <c r="L40" s="36"/>
      <c r="M40" s="36"/>
      <c r="N40" s="36"/>
      <c r="O40" s="36"/>
      <c r="R40" s="119" t="s">
        <v>3794</v>
      </c>
      <c r="S40" s="120"/>
      <c r="T40" s="123" t="str">
        <f>エンティティ一覧!$O$2</f>
        <v>milscm_2023_009</v>
      </c>
    </row>
    <row r="41" spans="2:23" ht="18.75" customHeight="1">
      <c r="C41" s="121"/>
      <c r="D41" s="122"/>
      <c r="E41" s="124"/>
      <c r="F41" s="37"/>
      <c r="G41" s="37"/>
      <c r="H41" s="37"/>
      <c r="I41" s="37"/>
      <c r="J41" s="37"/>
      <c r="K41" s="37"/>
      <c r="L41" s="37"/>
      <c r="M41" s="37"/>
      <c r="N41" s="37"/>
      <c r="O41" s="37"/>
      <c r="P41" s="37"/>
      <c r="Q41" s="38"/>
      <c r="R41" s="121"/>
      <c r="S41" s="122"/>
      <c r="T41" s="124"/>
    </row>
    <row r="42" spans="2:23" ht="18.75" customHeight="1">
      <c r="P42" s="39"/>
      <c r="Q42" s="40"/>
    </row>
    <row r="43" spans="2:23" ht="18.75" customHeight="1">
      <c r="H43" s="35" t="s">
        <v>3796</v>
      </c>
      <c r="J43" s="35">
        <v>160231010</v>
      </c>
      <c r="M43" s="119" t="s">
        <v>3669</v>
      </c>
      <c r="N43" s="120"/>
      <c r="O43" s="123" t="str">
        <f>エンティティ一覧!$O$2</f>
        <v>milscm_2023_009</v>
      </c>
      <c r="Q43" s="41"/>
    </row>
    <row r="44" spans="2:23" ht="18.75" customHeight="1">
      <c r="H44" s="35" t="s">
        <v>3797</v>
      </c>
      <c r="J44" s="35">
        <v>160233010</v>
      </c>
      <c r="M44" s="121"/>
      <c r="N44" s="122"/>
      <c r="O44" s="124"/>
      <c r="P44" s="37"/>
    </row>
    <row r="45" spans="2:23" ht="18.75" customHeight="1">
      <c r="H45" s="35" t="s">
        <v>3798</v>
      </c>
      <c r="J45" s="35">
        <v>160060870</v>
      </c>
    </row>
    <row r="47" spans="2:23" ht="18.75" customHeight="1" thickBot="1">
      <c r="B47" s="42"/>
      <c r="C47" s="42"/>
      <c r="D47" s="42"/>
      <c r="E47" s="42"/>
      <c r="F47" s="42"/>
      <c r="G47" s="42"/>
      <c r="H47" s="42"/>
      <c r="I47" s="42"/>
      <c r="J47" s="42"/>
      <c r="K47" s="42"/>
      <c r="L47" s="42"/>
      <c r="M47" s="42"/>
      <c r="N47" s="42"/>
      <c r="O47" s="42"/>
      <c r="P47" s="42"/>
      <c r="Q47" s="42"/>
      <c r="R47" s="42"/>
      <c r="S47" s="42"/>
      <c r="T47" s="42"/>
      <c r="U47" s="42"/>
    </row>
    <row r="49" spans="2:23" ht="18.75" customHeight="1">
      <c r="B49" s="63" t="s">
        <v>902</v>
      </c>
      <c r="C49" s="51" t="s">
        <v>3672</v>
      </c>
      <c r="D49" s="95"/>
      <c r="W49" s="35" t="str">
        <f>"-- "&amp;B49&amp;" : "&amp;C49</f>
        <v>-- 処理ID : 11_04</v>
      </c>
    </row>
    <row r="50" spans="2:23" ht="18.75" customHeight="1">
      <c r="B50" s="63" t="s">
        <v>558</v>
      </c>
      <c r="C50" s="127" t="str">
        <f>R53&amp;"登録"</f>
        <v>組入れ_検体検査マスタ登録</v>
      </c>
      <c r="D50" s="128"/>
      <c r="E50" s="128"/>
      <c r="F50" s="128"/>
      <c r="G50" s="128"/>
      <c r="H50" s="128"/>
      <c r="I50" s="128"/>
      <c r="J50" s="128"/>
      <c r="K50" s="128"/>
      <c r="L50" s="128"/>
      <c r="M50" s="128"/>
      <c r="N50" s="128"/>
      <c r="O50" s="128"/>
      <c r="P50" s="128"/>
      <c r="Q50" s="128"/>
      <c r="R50" s="128"/>
      <c r="S50" s="128"/>
      <c r="T50" s="128"/>
      <c r="U50" s="129"/>
      <c r="W50" s="35" t="str">
        <f>"-- "&amp;C50</f>
        <v>-- 組入れ_検体検査マスタ登録</v>
      </c>
    </row>
    <row r="51" spans="2:23" ht="18.75" customHeight="1">
      <c r="B51" s="63" t="s">
        <v>159</v>
      </c>
      <c r="C51" s="130" t="s">
        <v>3990</v>
      </c>
      <c r="D51" s="131"/>
      <c r="E51" s="131"/>
      <c r="F51" s="131"/>
      <c r="G51" s="131"/>
      <c r="H51" s="131"/>
      <c r="I51" s="131"/>
      <c r="J51" s="131"/>
      <c r="K51" s="131"/>
      <c r="L51" s="131"/>
      <c r="M51" s="131"/>
      <c r="N51" s="131"/>
      <c r="O51" s="131"/>
      <c r="P51" s="131"/>
      <c r="Q51" s="131"/>
      <c r="R51" s="131"/>
      <c r="S51" s="131"/>
      <c r="T51" s="131"/>
      <c r="U51" s="132"/>
      <c r="W51" s="35" t="str">
        <f>"-- "&amp;C51</f>
        <v>-- 検査マスタ_組入れ.tsvを組入れ_検体検査マスタテーブルに登録する。</v>
      </c>
    </row>
    <row r="53" spans="2:23" ht="18.75" customHeight="1">
      <c r="C53" s="119" t="s">
        <v>3800</v>
      </c>
      <c r="D53" s="120"/>
      <c r="E53" s="123" t="s">
        <v>3801</v>
      </c>
      <c r="F53" s="36"/>
      <c r="G53" s="36"/>
      <c r="H53" s="36"/>
      <c r="I53" s="36"/>
      <c r="J53" s="36"/>
      <c r="K53" s="36"/>
      <c r="L53" s="36"/>
      <c r="M53" s="36"/>
      <c r="N53" s="36"/>
      <c r="O53" s="36"/>
      <c r="P53" s="36"/>
      <c r="Q53" s="36"/>
      <c r="R53" s="119" t="s">
        <v>3831</v>
      </c>
      <c r="S53" s="120"/>
      <c r="T53" s="123" t="str">
        <f>エンティティ一覧!$O$2</f>
        <v>milscm_2023_009</v>
      </c>
    </row>
    <row r="54" spans="2:23" ht="18.75" customHeight="1">
      <c r="C54" s="121"/>
      <c r="D54" s="122"/>
      <c r="E54" s="124"/>
      <c r="F54" s="37"/>
      <c r="G54" s="37"/>
      <c r="H54" s="37"/>
      <c r="I54" s="37"/>
      <c r="J54" s="37"/>
      <c r="K54" s="37"/>
      <c r="L54" s="37"/>
      <c r="M54" s="37"/>
      <c r="N54" s="37"/>
      <c r="O54" s="37"/>
      <c r="P54" s="37"/>
      <c r="Q54" s="37"/>
      <c r="R54" s="121"/>
      <c r="S54" s="122"/>
      <c r="T54" s="124"/>
    </row>
    <row r="55" spans="2:23" ht="18.75" customHeight="1">
      <c r="C55" s="35" t="s">
        <v>3799</v>
      </c>
    </row>
    <row r="59" spans="2:23" ht="18.75" customHeight="1" thickBot="1">
      <c r="B59" s="42"/>
      <c r="C59" s="42"/>
      <c r="D59" s="42"/>
      <c r="E59" s="42"/>
      <c r="F59" s="42"/>
      <c r="G59" s="42"/>
      <c r="H59" s="42"/>
      <c r="I59" s="42"/>
      <c r="J59" s="42"/>
      <c r="K59" s="42"/>
      <c r="L59" s="42"/>
      <c r="M59" s="42"/>
      <c r="N59" s="42"/>
      <c r="O59" s="42"/>
      <c r="P59" s="42"/>
      <c r="Q59" s="42"/>
      <c r="R59" s="42"/>
      <c r="S59" s="42"/>
      <c r="T59" s="42"/>
      <c r="U59" s="42"/>
    </row>
    <row r="61" spans="2:23" ht="18.75" customHeight="1">
      <c r="B61" s="43" t="s">
        <v>163</v>
      </c>
      <c r="C61" s="51" t="s">
        <v>3673</v>
      </c>
      <c r="D61" s="102"/>
      <c r="W61" s="35" t="str">
        <f>"-- "&amp;B61&amp;" : "&amp;C61</f>
        <v>-- SQL_ID : 11_05</v>
      </c>
    </row>
    <row r="62" spans="2:23" ht="18.75" customHeight="1">
      <c r="B62" s="43" t="s">
        <v>158</v>
      </c>
      <c r="C62" s="127" t="str">
        <f>R65&amp;"登録"</f>
        <v>組入れ_対象検体検査登録</v>
      </c>
      <c r="D62" s="128"/>
      <c r="E62" s="128"/>
      <c r="F62" s="128"/>
      <c r="G62" s="128"/>
      <c r="H62" s="128"/>
      <c r="I62" s="128"/>
      <c r="J62" s="128"/>
      <c r="K62" s="128"/>
      <c r="L62" s="128"/>
      <c r="M62" s="128"/>
      <c r="N62" s="128"/>
      <c r="O62" s="128"/>
      <c r="P62" s="128"/>
      <c r="Q62" s="128"/>
      <c r="R62" s="128"/>
      <c r="S62" s="128"/>
      <c r="T62" s="128"/>
      <c r="U62" s="129"/>
      <c r="W62" s="35" t="str">
        <f>"-- "&amp;C62</f>
        <v>-- 組入れ_対象検体検査登録</v>
      </c>
    </row>
    <row r="63" spans="2:23" ht="18.75" customHeight="1">
      <c r="B63" s="43" t="s">
        <v>159</v>
      </c>
      <c r="C63" s="130" t="str">
        <f>"検査データのテーブルから組入れ条件で絞り込んだ結果を"&amp;R65&amp;"テーブルに格納する。"</f>
        <v>検査データのテーブルから組入れ条件で絞り込んだ結果を組入れ_対象検体検査テーブルに格納する。</v>
      </c>
      <c r="D63" s="131"/>
      <c r="E63" s="131"/>
      <c r="F63" s="131"/>
      <c r="G63" s="131"/>
      <c r="H63" s="131"/>
      <c r="I63" s="131"/>
      <c r="J63" s="131"/>
      <c r="K63" s="131"/>
      <c r="L63" s="131"/>
      <c r="M63" s="131"/>
      <c r="N63" s="131"/>
      <c r="O63" s="131"/>
      <c r="P63" s="131"/>
      <c r="Q63" s="131"/>
      <c r="R63" s="131"/>
      <c r="S63" s="131"/>
      <c r="T63" s="131"/>
      <c r="U63" s="132"/>
      <c r="W63" s="35" t="str">
        <f>"-- "&amp;C63</f>
        <v>-- 検査データのテーブルから組入れ条件で絞り込んだ結果を組入れ_対象検体検査テーブルに格納する。</v>
      </c>
    </row>
    <row r="65" spans="3:20" ht="18.75" customHeight="1">
      <c r="C65" s="119" t="s">
        <v>3804</v>
      </c>
      <c r="D65" s="120"/>
      <c r="E65" s="123" t="str">
        <f>エンティティ一覧!$O$2</f>
        <v>milscm_2023_009</v>
      </c>
      <c r="H65" s="36"/>
      <c r="I65" s="36"/>
      <c r="J65" s="36"/>
      <c r="M65" s="36"/>
      <c r="R65" s="119" t="s">
        <v>3803</v>
      </c>
      <c r="S65" s="120"/>
      <c r="T65" s="123" t="str">
        <f>エンティティ一覧!$O$2</f>
        <v>milscm_2023_009</v>
      </c>
    </row>
    <row r="66" spans="3:20" ht="18.75" customHeight="1">
      <c r="C66" s="121"/>
      <c r="D66" s="122"/>
      <c r="E66" s="124"/>
      <c r="F66" s="37"/>
      <c r="G66" s="38"/>
      <c r="H66" s="37"/>
      <c r="I66" s="37"/>
      <c r="J66" s="37"/>
      <c r="K66" s="37"/>
      <c r="L66" s="37"/>
      <c r="M66" s="97"/>
      <c r="N66" s="37"/>
      <c r="O66" s="38"/>
      <c r="P66" s="37"/>
      <c r="Q66" s="38"/>
      <c r="R66" s="121"/>
      <c r="S66" s="122"/>
      <c r="T66" s="124"/>
    </row>
    <row r="67" spans="3:20" ht="18.75" customHeight="1">
      <c r="F67" s="39"/>
      <c r="G67" s="40"/>
      <c r="K67" s="39"/>
      <c r="L67" s="101"/>
      <c r="M67" s="104"/>
      <c r="N67" s="39"/>
      <c r="O67" s="40"/>
      <c r="P67" s="39"/>
      <c r="Q67" s="40"/>
    </row>
    <row r="68" spans="3:20" ht="18.75" customHeight="1">
      <c r="C68" s="119" t="s">
        <v>3669</v>
      </c>
      <c r="D68" s="120"/>
      <c r="E68" s="123" t="str">
        <f>エンティティ一覧!$O$2</f>
        <v>milscm_2023_009</v>
      </c>
      <c r="G68" s="41"/>
      <c r="K68" s="39"/>
      <c r="L68" s="101"/>
      <c r="M68" s="104"/>
      <c r="N68" s="39"/>
      <c r="O68" s="40"/>
      <c r="P68" s="39"/>
      <c r="Q68" s="40"/>
    </row>
    <row r="69" spans="3:20" ht="18.75" customHeight="1">
      <c r="C69" s="121"/>
      <c r="D69" s="122"/>
      <c r="E69" s="124"/>
      <c r="F69" s="37"/>
      <c r="K69" s="39"/>
      <c r="L69" s="101"/>
      <c r="M69" s="104"/>
      <c r="N69" s="39"/>
      <c r="O69" s="40"/>
      <c r="P69" s="39"/>
      <c r="Q69" s="40"/>
    </row>
    <row r="70" spans="3:20" ht="18.75" customHeight="1">
      <c r="K70" s="39"/>
      <c r="L70" s="101"/>
      <c r="M70" s="104"/>
      <c r="N70" s="39"/>
      <c r="O70" s="40"/>
      <c r="P70" s="39"/>
      <c r="Q70" s="40"/>
    </row>
    <row r="71" spans="3:20" ht="18.75" customHeight="1">
      <c r="H71" s="119" t="s">
        <v>3805</v>
      </c>
      <c r="I71" s="120"/>
      <c r="J71" s="123" t="str">
        <f>エンティティ一覧!$O$2</f>
        <v>milscm_2023_009</v>
      </c>
      <c r="L71" s="36"/>
      <c r="M71" s="105"/>
      <c r="N71" s="39"/>
      <c r="O71" s="40"/>
      <c r="P71" s="39"/>
      <c r="Q71" s="40"/>
    </row>
    <row r="72" spans="3:20" ht="18.75" customHeight="1">
      <c r="H72" s="121"/>
      <c r="I72" s="122"/>
      <c r="J72" s="124"/>
      <c r="K72" s="96"/>
      <c r="N72" s="39"/>
      <c r="O72" s="40"/>
      <c r="P72" s="39"/>
      <c r="Q72" s="40"/>
    </row>
    <row r="73" spans="3:20" ht="18.75" customHeight="1">
      <c r="K73" s="39"/>
      <c r="L73" s="40"/>
      <c r="N73" s="39"/>
      <c r="O73" s="40"/>
      <c r="P73" s="39"/>
      <c r="Q73" s="40"/>
    </row>
    <row r="74" spans="3:20" ht="18.75" customHeight="1">
      <c r="H74" s="119" t="s">
        <v>3831</v>
      </c>
      <c r="I74" s="120"/>
      <c r="J74" s="123" t="str">
        <f>エンティティ一覧!$O$2</f>
        <v>milscm_2023_009</v>
      </c>
      <c r="L74" s="41"/>
      <c r="N74" s="39"/>
      <c r="O74" s="40"/>
      <c r="P74" s="39"/>
      <c r="Q74" s="40"/>
    </row>
    <row r="75" spans="3:20" ht="18.75" customHeight="1">
      <c r="H75" s="121"/>
      <c r="I75" s="122"/>
      <c r="J75" s="124"/>
      <c r="K75" s="37"/>
      <c r="N75" s="39"/>
      <c r="O75" s="40"/>
      <c r="P75" s="39"/>
      <c r="Q75" s="40"/>
    </row>
    <row r="76" spans="3:20" ht="18.75" customHeight="1">
      <c r="N76" s="39"/>
      <c r="O76" s="40"/>
      <c r="P76" s="39"/>
      <c r="Q76" s="40"/>
    </row>
    <row r="77" spans="3:20" ht="18.75" customHeight="1">
      <c r="H77" s="119" t="s">
        <v>3806</v>
      </c>
      <c r="I77" s="120"/>
      <c r="J77" s="123" t="str">
        <f>エンティティ一覧!$O$2</f>
        <v>milscm_2023_009</v>
      </c>
      <c r="M77" s="36"/>
      <c r="O77" s="41"/>
      <c r="P77" s="39"/>
      <c r="Q77" s="40"/>
    </row>
    <row r="78" spans="3:20" ht="18.75" customHeight="1">
      <c r="H78" s="121"/>
      <c r="I78" s="122"/>
      <c r="J78" s="124"/>
      <c r="K78" s="37"/>
      <c r="L78" s="38"/>
      <c r="M78" s="37"/>
      <c r="N78" s="37"/>
      <c r="P78" s="39"/>
      <c r="Q78" s="40"/>
    </row>
    <row r="79" spans="3:20" ht="18.75" customHeight="1">
      <c r="K79" s="39"/>
      <c r="L79" s="40"/>
      <c r="P79" s="39"/>
      <c r="Q79" s="40"/>
    </row>
    <row r="80" spans="3:20" ht="18.75" customHeight="1">
      <c r="H80" s="119" t="s">
        <v>3831</v>
      </c>
      <c r="I80" s="120"/>
      <c r="J80" s="123" t="str">
        <f>エンティティ一覧!$O$2</f>
        <v>milscm_2023_009</v>
      </c>
      <c r="L80" s="41"/>
      <c r="P80" s="39"/>
      <c r="Q80" s="40"/>
    </row>
    <row r="81" spans="2:23" ht="18.75" customHeight="1">
      <c r="H81" s="121"/>
      <c r="I81" s="122"/>
      <c r="J81" s="124"/>
      <c r="K81" s="37"/>
      <c r="P81" s="39"/>
      <c r="Q81" s="40"/>
    </row>
    <row r="82" spans="2:23" ht="18.75" customHeight="1">
      <c r="P82" s="39"/>
      <c r="Q82" s="40"/>
    </row>
    <row r="83" spans="2:23" ht="18.75" customHeight="1">
      <c r="M83" s="119" t="s">
        <v>3831</v>
      </c>
      <c r="N83" s="120"/>
      <c r="O83" s="123" t="str">
        <f>エンティティ一覧!$O$2</f>
        <v>milscm_2023_009</v>
      </c>
      <c r="Q83" s="41"/>
    </row>
    <row r="84" spans="2:23" ht="18.75" customHeight="1">
      <c r="M84" s="121"/>
      <c r="N84" s="122"/>
      <c r="O84" s="124"/>
      <c r="P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4022</v>
      </c>
      <c r="D88" s="89"/>
      <c r="W88" s="35" t="str">
        <f>"-- "&amp;B88&amp;" : "&amp;C88</f>
        <v>-- SQL_ID : 11_05-01</v>
      </c>
    </row>
    <row r="89" spans="2:23" ht="18.75" customHeight="1">
      <c r="B89" s="43" t="s">
        <v>158</v>
      </c>
      <c r="C89" s="127" t="str">
        <f>R92&amp;"登録"</f>
        <v>組入れ_対象検体検査登録</v>
      </c>
      <c r="D89" s="128"/>
      <c r="E89" s="128"/>
      <c r="F89" s="128"/>
      <c r="G89" s="128"/>
      <c r="H89" s="128"/>
      <c r="I89" s="128"/>
      <c r="J89" s="128"/>
      <c r="K89" s="128"/>
      <c r="L89" s="128"/>
      <c r="M89" s="128"/>
      <c r="N89" s="128"/>
      <c r="O89" s="128"/>
      <c r="P89" s="128"/>
      <c r="Q89" s="128"/>
      <c r="R89" s="128"/>
      <c r="S89" s="128"/>
      <c r="T89" s="128"/>
      <c r="U89" s="129"/>
      <c r="W89" s="35" t="str">
        <f>"-- "&amp;C89</f>
        <v>-- 組入れ_対象検体検査登録</v>
      </c>
    </row>
    <row r="90" spans="2:23" ht="18.75" customHeight="1">
      <c r="B90" s="43" t="s">
        <v>159</v>
      </c>
      <c r="C90" s="130" t="str">
        <f>"検査データ（スキーマ4）のテーブルから組入れ条件で絞り込んだ結果を"&amp;R92&amp;"テーブルに格納する。"</f>
        <v>検査データ（スキーマ4）のテーブルから組入れ条件で絞り込んだ結果を組入れ_対象検体検査テーブルに格納する。</v>
      </c>
      <c r="D90" s="131"/>
      <c r="E90" s="131"/>
      <c r="F90" s="131"/>
      <c r="G90" s="131"/>
      <c r="H90" s="131"/>
      <c r="I90" s="131"/>
      <c r="J90" s="131"/>
      <c r="K90" s="131"/>
      <c r="L90" s="131"/>
      <c r="M90" s="131"/>
      <c r="N90" s="131"/>
      <c r="O90" s="131"/>
      <c r="P90" s="131"/>
      <c r="Q90" s="131"/>
      <c r="R90" s="131"/>
      <c r="S90" s="131"/>
      <c r="T90" s="131"/>
      <c r="U90" s="132"/>
      <c r="W90" s="35" t="str">
        <f>"-- "&amp;C90</f>
        <v>-- 検査データ（スキーマ4）のテーブルから組入れ条件で絞り込んだ結果を組入れ_対象検体検査テーブルに格納する。</v>
      </c>
    </row>
    <row r="92" spans="2:23" ht="18.75" customHeight="1">
      <c r="C92" s="119" t="s">
        <v>3983</v>
      </c>
      <c r="D92" s="120"/>
      <c r="E92" s="123" t="str">
        <f>エンティティ一覧!$O$2</f>
        <v>milscm_2023_009</v>
      </c>
      <c r="H92" s="36"/>
      <c r="I92" s="36"/>
      <c r="J92" s="36"/>
      <c r="M92" s="36"/>
      <c r="N92" s="36"/>
      <c r="O92" s="36"/>
      <c r="P92" s="36"/>
      <c r="Q92" s="36"/>
      <c r="R92" s="119" t="s">
        <v>3803</v>
      </c>
      <c r="S92" s="120"/>
      <c r="T92" s="123" t="str">
        <f>エンティティ一覧!$O$2</f>
        <v>milscm_2023_009</v>
      </c>
    </row>
    <row r="93" spans="2:23" ht="18.75" customHeight="1">
      <c r="C93" s="121"/>
      <c r="D93" s="122"/>
      <c r="E93" s="124"/>
      <c r="F93" s="37"/>
      <c r="G93" s="38"/>
      <c r="H93" s="37"/>
      <c r="I93" s="37"/>
      <c r="J93" s="37"/>
      <c r="K93" s="37"/>
      <c r="L93" s="37"/>
      <c r="M93" s="97"/>
      <c r="N93" s="97"/>
      <c r="O93" s="37"/>
      <c r="P93" s="37"/>
      <c r="Q93" s="38"/>
      <c r="R93" s="121"/>
      <c r="S93" s="122"/>
      <c r="T93" s="124"/>
    </row>
    <row r="94" spans="2:23" ht="18.75" customHeight="1">
      <c r="F94" s="39"/>
      <c r="G94" s="40"/>
      <c r="K94" s="39"/>
      <c r="L94" s="101"/>
      <c r="M94" s="104"/>
      <c r="N94" s="104"/>
      <c r="Q94" s="41"/>
    </row>
    <row r="95" spans="2:23" ht="18.75" customHeight="1">
      <c r="C95" s="119" t="s">
        <v>3669</v>
      </c>
      <c r="D95" s="120"/>
      <c r="E95" s="123" t="str">
        <f>エンティティ一覧!$O$2</f>
        <v>milscm_2023_009</v>
      </c>
      <c r="F95" s="106"/>
      <c r="G95" s="40"/>
      <c r="K95" s="39"/>
      <c r="L95" s="101"/>
      <c r="M95" s="104"/>
      <c r="N95" s="104"/>
      <c r="Q95" s="41"/>
    </row>
    <row r="96" spans="2:23" ht="18.75" customHeight="1">
      <c r="C96" s="121"/>
      <c r="D96" s="122"/>
      <c r="E96" s="124"/>
      <c r="F96" s="39"/>
      <c r="G96" s="101"/>
      <c r="K96" s="39"/>
      <c r="L96" s="101"/>
      <c r="M96" s="104"/>
      <c r="N96" s="104"/>
      <c r="Q96" s="41"/>
    </row>
    <row r="97" spans="3:17" ht="18.75" customHeight="1">
      <c r="F97" s="39"/>
      <c r="G97" s="101"/>
      <c r="K97" s="39"/>
      <c r="L97" s="101"/>
      <c r="M97" s="104"/>
      <c r="N97" s="104"/>
      <c r="Q97" s="41"/>
    </row>
    <row r="98" spans="3:17" ht="18.75" customHeight="1">
      <c r="F98" s="39"/>
      <c r="G98" s="101"/>
      <c r="H98" s="133" t="s">
        <v>3984</v>
      </c>
      <c r="I98" s="134"/>
      <c r="J98" s="123" t="str">
        <f>エンティティ一覧!$O$2</f>
        <v>milscm_2023_009</v>
      </c>
      <c r="L98" s="107"/>
      <c r="M98" s="105"/>
      <c r="N98" s="104"/>
      <c r="Q98" s="41"/>
    </row>
    <row r="99" spans="3:17" ht="18.75" customHeight="1">
      <c r="F99" s="39"/>
      <c r="G99" s="101"/>
      <c r="H99" s="135"/>
      <c r="I99" s="136"/>
      <c r="J99" s="124"/>
      <c r="K99" s="38"/>
      <c r="L99" s="40"/>
      <c r="N99" s="104"/>
      <c r="Q99" s="41"/>
    </row>
    <row r="100" spans="3:17" ht="18.75" customHeight="1">
      <c r="F100" s="39"/>
      <c r="G100" s="101"/>
      <c r="K100" s="39"/>
      <c r="L100" s="40"/>
      <c r="N100" s="104"/>
      <c r="Q100" s="41"/>
    </row>
    <row r="101" spans="3:17" ht="18.75" customHeight="1">
      <c r="C101" s="119" t="s">
        <v>3831</v>
      </c>
      <c r="D101" s="120"/>
      <c r="E101" s="123" t="str">
        <f>エンティティ一覧!$O$2</f>
        <v>milscm_2023_009</v>
      </c>
      <c r="G101" s="107"/>
      <c r="H101" s="36"/>
      <c r="I101" s="36"/>
      <c r="J101" s="36"/>
      <c r="K101" s="105"/>
      <c r="L101" s="40"/>
      <c r="N101" s="104"/>
      <c r="Q101" s="41"/>
    </row>
    <row r="102" spans="3:17" ht="18.75" customHeight="1">
      <c r="C102" s="121"/>
      <c r="D102" s="122"/>
      <c r="E102" s="124"/>
      <c r="F102" s="38"/>
      <c r="G102" s="40"/>
      <c r="N102" s="104"/>
      <c r="Q102" s="41"/>
    </row>
    <row r="103" spans="3:17" ht="18.75" customHeight="1">
      <c r="F103" s="39"/>
      <c r="G103" s="40"/>
      <c r="N103" s="104"/>
      <c r="Q103" s="41"/>
    </row>
    <row r="104" spans="3:17" ht="18.75" customHeight="1">
      <c r="C104" s="119" t="s">
        <v>3669</v>
      </c>
      <c r="D104" s="120"/>
      <c r="E104" s="123" t="str">
        <f>エンティティ一覧!$O$2</f>
        <v>milscm_2023_009</v>
      </c>
      <c r="G104" s="40"/>
      <c r="N104" s="104"/>
      <c r="Q104" s="41"/>
    </row>
    <row r="105" spans="3:17" ht="18.75" customHeight="1">
      <c r="C105" s="121"/>
      <c r="D105" s="122"/>
      <c r="E105" s="124"/>
      <c r="F105" s="37"/>
      <c r="G105" s="101"/>
      <c r="L105" s="101"/>
      <c r="N105" s="104"/>
      <c r="Q105" s="41"/>
    </row>
    <row r="106" spans="3:17" ht="18.75" customHeight="1">
      <c r="F106" s="39"/>
      <c r="G106" s="101"/>
      <c r="K106" s="39"/>
      <c r="L106" s="101"/>
      <c r="N106" s="104"/>
      <c r="Q106" s="41"/>
    </row>
    <row r="107" spans="3:17" ht="18.75" customHeight="1">
      <c r="G107" s="94"/>
      <c r="H107" s="119" t="s">
        <v>3985</v>
      </c>
      <c r="I107" s="120"/>
      <c r="J107" s="123" t="str">
        <f>エンティティ一覧!$O$2</f>
        <v>milscm_2023_009</v>
      </c>
      <c r="L107" s="36"/>
      <c r="M107" s="36"/>
      <c r="N107" s="105"/>
      <c r="Q107" s="41"/>
    </row>
    <row r="108" spans="3:17" ht="18.75" customHeight="1">
      <c r="H108" s="121"/>
      <c r="I108" s="122"/>
      <c r="J108" s="124"/>
      <c r="K108" s="37"/>
      <c r="L108" s="41"/>
      <c r="Q108" s="41"/>
    </row>
    <row r="109" spans="3:17" ht="18.75" customHeight="1">
      <c r="F109" s="39"/>
      <c r="G109" s="101"/>
      <c r="K109" s="39"/>
      <c r="L109" s="40"/>
      <c r="Q109" s="41"/>
    </row>
    <row r="110" spans="3:17" ht="18.75" customHeight="1">
      <c r="C110" s="119" t="s">
        <v>3831</v>
      </c>
      <c r="D110" s="120"/>
      <c r="E110" s="123" t="str">
        <f>エンティティ一覧!$O$2</f>
        <v>milscm_2023_009</v>
      </c>
      <c r="G110" s="107"/>
      <c r="H110" s="36"/>
      <c r="I110" s="36"/>
      <c r="J110" s="36"/>
      <c r="K110" s="105"/>
      <c r="L110" s="40"/>
      <c r="Q110" s="41"/>
    </row>
    <row r="111" spans="3:17" ht="18.75" customHeight="1">
      <c r="C111" s="121"/>
      <c r="D111" s="122"/>
      <c r="E111" s="124"/>
      <c r="F111" s="38"/>
      <c r="G111" s="40"/>
      <c r="Q111" s="41"/>
    </row>
    <row r="112" spans="3:17" ht="18.75" customHeight="1">
      <c r="F112" s="39"/>
      <c r="G112" s="40"/>
      <c r="Q112" s="41"/>
    </row>
    <row r="113" spans="2:23" ht="18.75" customHeight="1">
      <c r="C113" s="119" t="s">
        <v>3669</v>
      </c>
      <c r="D113" s="120"/>
      <c r="E113" s="123" t="str">
        <f>エンティティ一覧!$O$2</f>
        <v>milscm_2023_009</v>
      </c>
      <c r="G113" s="40"/>
      <c r="Q113" s="41"/>
    </row>
    <row r="114" spans="2:23" ht="18.75" customHeight="1">
      <c r="C114" s="121"/>
      <c r="D114" s="122"/>
      <c r="E114" s="124"/>
      <c r="F114" s="37"/>
      <c r="G114" s="101"/>
      <c r="L114" s="101"/>
      <c r="Q114" s="41"/>
    </row>
    <row r="115" spans="2:23" ht="18.75" customHeight="1">
      <c r="F115" s="39"/>
      <c r="G115" s="101"/>
      <c r="K115" s="39"/>
      <c r="L115" s="101"/>
      <c r="Q115" s="41"/>
    </row>
    <row r="116" spans="2:23" ht="18.75" customHeight="1">
      <c r="H116" s="119" t="s">
        <v>3831</v>
      </c>
      <c r="I116" s="120"/>
      <c r="J116" s="123" t="str">
        <f>エンティティ一覧!$O$2</f>
        <v>milscm_2023_009</v>
      </c>
      <c r="L116" s="107"/>
      <c r="M116" s="36"/>
      <c r="N116" s="36"/>
      <c r="O116" s="36"/>
      <c r="P116" s="105"/>
      <c r="Q116" s="41"/>
    </row>
    <row r="117" spans="2:23" ht="18.75" customHeight="1">
      <c r="H117" s="121"/>
      <c r="I117" s="122"/>
      <c r="J117" s="124"/>
      <c r="K117" s="38"/>
      <c r="L117" s="40"/>
      <c r="Q117" s="94"/>
    </row>
    <row r="118" spans="2:23" ht="18.75" customHeight="1">
      <c r="K118" s="39"/>
      <c r="L118" s="40"/>
      <c r="Q118" s="94"/>
    </row>
    <row r="119" spans="2:23" ht="18.75" customHeight="1">
      <c r="H119" s="119" t="s">
        <v>3669</v>
      </c>
      <c r="I119" s="120"/>
      <c r="J119" s="123" t="str">
        <f>エンティティ一覧!$O$2</f>
        <v>milscm_2023_009</v>
      </c>
      <c r="L119" s="40"/>
      <c r="Q119" s="94"/>
    </row>
    <row r="120" spans="2:23" ht="18.75" customHeight="1">
      <c r="H120" s="121"/>
      <c r="I120" s="122"/>
      <c r="J120" s="124"/>
      <c r="K120" s="37"/>
      <c r="L120" s="101"/>
      <c r="Q120" s="94"/>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3807</v>
      </c>
      <c r="D124" s="108"/>
      <c r="W124" s="35" t="str">
        <f>"-- "&amp;B124&amp;" : "&amp;C124</f>
        <v>-- SQL_ID : 11_06</v>
      </c>
    </row>
    <row r="125" spans="2:23" ht="18.75" customHeight="1">
      <c r="B125" s="43" t="s">
        <v>158</v>
      </c>
      <c r="C125" s="127" t="str">
        <f>R128&amp;"登録"</f>
        <v>組入れ_対象検体検査_対象患者登録</v>
      </c>
      <c r="D125" s="128"/>
      <c r="E125" s="128"/>
      <c r="F125" s="128"/>
      <c r="G125" s="128"/>
      <c r="H125" s="128"/>
      <c r="I125" s="128"/>
      <c r="J125" s="128"/>
      <c r="K125" s="128"/>
      <c r="L125" s="128"/>
      <c r="M125" s="128"/>
      <c r="N125" s="128"/>
      <c r="O125" s="128"/>
      <c r="P125" s="128"/>
      <c r="Q125" s="128"/>
      <c r="R125" s="128"/>
      <c r="S125" s="128"/>
      <c r="T125" s="128"/>
      <c r="U125" s="129"/>
      <c r="W125" s="35" t="str">
        <f>"-- "&amp;C125</f>
        <v>-- 組入れ_対象検体検査_対象患者登録</v>
      </c>
    </row>
    <row r="126" spans="2:23" ht="18.75" customHeight="1">
      <c r="B126" s="43" t="s">
        <v>159</v>
      </c>
      <c r="C126" s="130" t="str">
        <f>"検査データのテーブルから組入れ条件（対象期間、表示名の種類）で絞り込んだ結果を"&amp;R128&amp;"テーブルに格納する。"</f>
        <v>検査データのテーブルから組入れ条件（対象期間、表示名の種類）で絞り込んだ結果を組入れ_対象検体検査_対象患者テーブルに格納する。</v>
      </c>
      <c r="D126" s="131"/>
      <c r="E126" s="131"/>
      <c r="F126" s="131"/>
      <c r="G126" s="131"/>
      <c r="H126" s="131"/>
      <c r="I126" s="131"/>
      <c r="J126" s="131"/>
      <c r="K126" s="131"/>
      <c r="L126" s="131"/>
      <c r="M126" s="131"/>
      <c r="N126" s="131"/>
      <c r="O126" s="131"/>
      <c r="P126" s="131"/>
      <c r="Q126" s="131"/>
      <c r="R126" s="131"/>
      <c r="S126" s="131"/>
      <c r="T126" s="131"/>
      <c r="U126" s="132"/>
      <c r="W126" s="35" t="str">
        <f>"-- "&amp;C126</f>
        <v>-- 検査データのテーブルから組入れ条件（対象期間、表示名の種類）で絞り込んだ結果を組入れ_対象検体検査_対象患者テーブルに格納する。</v>
      </c>
    </row>
    <row r="128" spans="2:23" ht="18.75" customHeight="1">
      <c r="C128" s="119" t="s">
        <v>3803</v>
      </c>
      <c r="D128" s="120"/>
      <c r="E128" s="123" t="str">
        <f>エンティティ一覧!$O$2</f>
        <v>milscm_2023_009</v>
      </c>
      <c r="F128" s="36"/>
      <c r="G128" s="36"/>
      <c r="H128" s="36"/>
      <c r="I128" s="36"/>
      <c r="L128" s="107"/>
      <c r="O128" s="107"/>
      <c r="R128" s="119" t="s">
        <v>4023</v>
      </c>
      <c r="S128" s="120"/>
      <c r="T128" s="123" t="str">
        <f>エンティティ一覧!$O$2</f>
        <v>milscm_2023_009</v>
      </c>
    </row>
    <row r="129" spans="1:23" ht="18.75" customHeight="1">
      <c r="C129" s="121"/>
      <c r="D129" s="122"/>
      <c r="E129" s="124"/>
      <c r="F129" s="37"/>
      <c r="G129" s="37"/>
      <c r="H129" s="37"/>
      <c r="I129" s="37"/>
      <c r="J129" s="37"/>
      <c r="K129" s="97"/>
      <c r="L129" s="40"/>
      <c r="M129" s="37"/>
      <c r="N129" s="97"/>
      <c r="O129" s="40"/>
      <c r="P129" s="37"/>
      <c r="Q129" s="37"/>
      <c r="R129" s="121"/>
      <c r="S129" s="122"/>
      <c r="T129" s="124"/>
    </row>
    <row r="130" spans="1:23" ht="18.75" customHeight="1">
      <c r="K130" s="39"/>
      <c r="L130" s="40"/>
      <c r="M130" s="39"/>
      <c r="N130" s="39"/>
      <c r="O130" s="40"/>
    </row>
    <row r="131" spans="1:23" ht="18.75" customHeight="1">
      <c r="H131" s="119" t="s">
        <v>3669</v>
      </c>
      <c r="I131" s="120"/>
      <c r="J131" s="123" t="str">
        <f>エンティティ一覧!$O$2</f>
        <v>milscm_2023_009</v>
      </c>
      <c r="L131" s="41"/>
      <c r="M131" s="39"/>
      <c r="N131" s="39"/>
      <c r="O131" s="40"/>
    </row>
    <row r="132" spans="1:23" ht="18.75" customHeight="1">
      <c r="H132" s="121"/>
      <c r="I132" s="122"/>
      <c r="J132" s="124"/>
      <c r="K132" s="37"/>
      <c r="M132" s="39"/>
      <c r="N132" s="39"/>
      <c r="O132" s="40"/>
    </row>
    <row r="133" spans="1:23" ht="18.75" customHeight="1">
      <c r="K133" s="39"/>
      <c r="L133" s="101"/>
      <c r="M133" s="39"/>
      <c r="N133" s="39"/>
      <c r="O133" s="40"/>
    </row>
    <row r="134" spans="1:23" ht="18.75" customHeight="1">
      <c r="C134" s="119" t="s">
        <v>3803</v>
      </c>
      <c r="D134" s="120"/>
      <c r="E134" s="123" t="str">
        <f>エンティティ一覧!$O$2</f>
        <v>milscm_2023_009</v>
      </c>
      <c r="F134" s="36"/>
      <c r="G134" s="36"/>
      <c r="H134" s="36"/>
      <c r="I134" s="36"/>
      <c r="J134" s="36"/>
      <c r="L134" s="107"/>
      <c r="O134" s="41"/>
      <c r="R134" s="39"/>
      <c r="S134" s="39"/>
      <c r="T134" s="39"/>
    </row>
    <row r="135" spans="1:23" ht="18.75" customHeight="1">
      <c r="C135" s="121"/>
      <c r="D135" s="122"/>
      <c r="E135" s="124"/>
      <c r="F135" s="37"/>
      <c r="G135" s="37"/>
      <c r="H135" s="37"/>
      <c r="I135" s="37"/>
      <c r="J135" s="37"/>
      <c r="K135" s="97"/>
      <c r="L135" s="40"/>
      <c r="M135" s="37"/>
      <c r="N135" s="37"/>
      <c r="R135" s="39"/>
      <c r="S135" s="39"/>
      <c r="T135" s="39"/>
    </row>
    <row r="136" spans="1:23" ht="18.75" customHeight="1">
      <c r="K136" s="39"/>
      <c r="L136" s="40"/>
      <c r="M136" s="39"/>
      <c r="N136" s="39"/>
      <c r="O136" s="39"/>
      <c r="P136" s="39"/>
      <c r="Q136" s="39"/>
    </row>
    <row r="137" spans="1:23" ht="18.75" customHeight="1">
      <c r="H137" s="119" t="s">
        <v>3669</v>
      </c>
      <c r="I137" s="120"/>
      <c r="J137" s="123" t="str">
        <f>エンティティ一覧!$O$2</f>
        <v>milscm_2023_009</v>
      </c>
      <c r="L137" s="41"/>
      <c r="M137" s="39"/>
      <c r="N137" s="39"/>
      <c r="O137" s="39"/>
      <c r="P137" s="39"/>
      <c r="Q137" s="39"/>
    </row>
    <row r="138" spans="1:23" ht="18.75" customHeight="1">
      <c r="H138" s="121"/>
      <c r="I138" s="122"/>
      <c r="J138" s="124"/>
      <c r="K138" s="37"/>
      <c r="M138" s="39"/>
      <c r="N138" s="39"/>
      <c r="O138" s="39"/>
      <c r="P138" s="39"/>
      <c r="Q138" s="39"/>
    </row>
    <row r="139" spans="1:23" ht="18.75" customHeight="1">
      <c r="K139" s="39"/>
      <c r="L139" s="101"/>
      <c r="M139" s="39"/>
      <c r="N139" s="39"/>
      <c r="O139" s="39"/>
      <c r="P139" s="39"/>
      <c r="Q139" s="39"/>
    </row>
    <row r="140" spans="1:23" ht="18.75" customHeight="1" thickBot="1">
      <c r="B140" s="42"/>
      <c r="C140" s="42"/>
      <c r="D140" s="42"/>
      <c r="E140" s="42"/>
      <c r="F140" s="42"/>
      <c r="G140" s="42"/>
      <c r="H140" s="42"/>
      <c r="I140" s="42"/>
      <c r="J140" s="42"/>
      <c r="K140" s="42"/>
      <c r="L140" s="42"/>
      <c r="M140" s="42"/>
      <c r="N140" s="42"/>
      <c r="O140" s="42"/>
      <c r="P140" s="42"/>
      <c r="Q140" s="42"/>
      <c r="R140" s="42"/>
      <c r="S140" s="42"/>
      <c r="T140" s="42"/>
      <c r="U140" s="42"/>
    </row>
    <row r="142" spans="1:23" ht="18.75" customHeight="1">
      <c r="A142" s="77"/>
      <c r="B142" s="43" t="s">
        <v>163</v>
      </c>
      <c r="C142" s="51" t="s">
        <v>3808</v>
      </c>
      <c r="D142" s="95"/>
      <c r="W142" s="35" t="str">
        <f>"-- "&amp;B142&amp;" : "&amp;C142</f>
        <v>-- SQL_ID : 11_07</v>
      </c>
    </row>
    <row r="143" spans="1:23" ht="18.75" customHeight="1">
      <c r="B143" s="43" t="s">
        <v>158</v>
      </c>
      <c r="C143" s="127" t="str">
        <f>R146&amp;"登録"</f>
        <v>組入れ_対象患者登録</v>
      </c>
      <c r="D143" s="128"/>
      <c r="E143" s="128"/>
      <c r="F143" s="128"/>
      <c r="G143" s="128"/>
      <c r="H143" s="128"/>
      <c r="I143" s="128"/>
      <c r="J143" s="128"/>
      <c r="K143" s="128"/>
      <c r="L143" s="128"/>
      <c r="M143" s="128"/>
      <c r="N143" s="128"/>
      <c r="O143" s="128"/>
      <c r="P143" s="128"/>
      <c r="Q143" s="128"/>
      <c r="R143" s="128"/>
      <c r="S143" s="128"/>
      <c r="T143" s="128"/>
      <c r="U143" s="129"/>
      <c r="W143" s="35" t="str">
        <f>"-- "&amp;C143</f>
        <v>-- 組入れ_対象患者登録</v>
      </c>
    </row>
    <row r="144" spans="1:23" ht="18.75" customHeight="1">
      <c r="B144" s="43" t="s">
        <v>159</v>
      </c>
      <c r="C144" s="130" t="str">
        <f>C146&amp;"テーブルから組入れ条件で絞り込んだ結果を"&amp;R146&amp;"テーブルに格納する。"</f>
        <v>組入れ_対象疾患テーブルから組入れ条件で絞り込んだ結果を組入れ_対象患者テーブルに格納する。</v>
      </c>
      <c r="D144" s="131"/>
      <c r="E144" s="131"/>
      <c r="F144" s="131"/>
      <c r="G144" s="131"/>
      <c r="H144" s="131"/>
      <c r="I144" s="131"/>
      <c r="J144" s="131"/>
      <c r="K144" s="131"/>
      <c r="L144" s="131"/>
      <c r="M144" s="131"/>
      <c r="N144" s="131"/>
      <c r="O144" s="131"/>
      <c r="P144" s="131"/>
      <c r="Q144" s="131"/>
      <c r="R144" s="131"/>
      <c r="S144" s="131"/>
      <c r="T144" s="131"/>
      <c r="U144" s="132"/>
      <c r="W144" s="35" t="str">
        <f>"-- "&amp;C144</f>
        <v>-- 組入れ_対象疾患テーブルから組入れ条件で絞り込んだ結果を組入れ_対象患者テーブルに格納する。</v>
      </c>
    </row>
    <row r="146" spans="3:20" ht="18.75" customHeight="1">
      <c r="C146" s="119" t="s">
        <v>3671</v>
      </c>
      <c r="D146" s="120"/>
      <c r="E146" s="123" t="str">
        <f>エンティティ一覧!$O$2</f>
        <v>milscm_2023_009</v>
      </c>
      <c r="H146" s="36"/>
      <c r="I146" s="36"/>
      <c r="J146" s="36"/>
      <c r="M146" s="36"/>
      <c r="N146" s="36"/>
      <c r="O146" s="36"/>
      <c r="P146" s="36"/>
      <c r="Q146" s="36"/>
      <c r="R146" s="119" t="s">
        <v>175</v>
      </c>
      <c r="S146" s="120"/>
      <c r="T146" s="123" t="str">
        <f>エンティティ一覧!$O$2</f>
        <v>milscm_2023_009</v>
      </c>
    </row>
    <row r="147" spans="3:20" ht="18.75" customHeight="1">
      <c r="C147" s="121"/>
      <c r="D147" s="122"/>
      <c r="E147" s="124"/>
      <c r="F147" s="37"/>
      <c r="G147" s="38"/>
      <c r="H147" s="37"/>
      <c r="I147" s="37"/>
      <c r="J147" s="37"/>
      <c r="K147" s="37"/>
      <c r="L147" s="38"/>
      <c r="M147" s="37"/>
      <c r="N147" s="37"/>
      <c r="O147" s="37"/>
      <c r="P147" s="37"/>
      <c r="Q147" s="37"/>
      <c r="R147" s="121"/>
      <c r="S147" s="122"/>
      <c r="T147" s="124"/>
    </row>
    <row r="148" spans="3:20" ht="18.75" customHeight="1">
      <c r="F148" s="39"/>
      <c r="G148" s="40"/>
      <c r="K148" s="39"/>
      <c r="L148" s="40"/>
    </row>
    <row r="149" spans="3:20" ht="18.75" customHeight="1">
      <c r="C149" s="119" t="s">
        <v>3183</v>
      </c>
      <c r="D149" s="120"/>
      <c r="E149" s="123" t="str">
        <f>エンティティ一覧!$O$2</f>
        <v>milscm_2023_009</v>
      </c>
      <c r="G149" s="41"/>
      <c r="K149" s="39"/>
      <c r="L149" s="40"/>
    </row>
    <row r="150" spans="3:20" ht="18.75" customHeight="1">
      <c r="C150" s="121"/>
      <c r="D150" s="122"/>
      <c r="E150" s="124"/>
      <c r="F150" s="37"/>
      <c r="K150" s="39"/>
      <c r="L150" s="40"/>
    </row>
    <row r="151" spans="3:20" ht="18.75" customHeight="1">
      <c r="K151" s="39"/>
      <c r="L151" s="40"/>
    </row>
    <row r="152" spans="3:20" ht="18.75" customHeight="1">
      <c r="C152" s="119" t="s">
        <v>3794</v>
      </c>
      <c r="D152" s="120"/>
      <c r="E152" s="123" t="str">
        <f>エンティティ一覧!$O$2</f>
        <v>milscm_2023_009</v>
      </c>
      <c r="H152" s="36"/>
      <c r="I152" s="36"/>
      <c r="J152" s="36"/>
      <c r="K152" s="36"/>
      <c r="L152" s="41"/>
    </row>
    <row r="153" spans="3:20" ht="18.75" customHeight="1">
      <c r="C153" s="121"/>
      <c r="D153" s="122"/>
      <c r="E153" s="124"/>
      <c r="F153" s="37"/>
      <c r="G153" s="38"/>
      <c r="H153" s="37"/>
      <c r="I153" s="37"/>
      <c r="J153" s="37"/>
      <c r="K153" s="97"/>
    </row>
    <row r="154" spans="3:20" ht="18.75" customHeight="1">
      <c r="F154" s="39"/>
      <c r="G154" s="40"/>
      <c r="K154" s="39"/>
      <c r="L154" s="40"/>
    </row>
    <row r="155" spans="3:20" ht="18.75" customHeight="1">
      <c r="C155" s="119" t="s">
        <v>3183</v>
      </c>
      <c r="D155" s="120"/>
      <c r="E155" s="123" t="str">
        <f>エンティティ一覧!$O$2</f>
        <v>milscm_2023_009</v>
      </c>
      <c r="G155" s="41"/>
      <c r="K155" s="39"/>
      <c r="L155" s="40"/>
    </row>
    <row r="156" spans="3:20" ht="18.75" customHeight="1">
      <c r="C156" s="121"/>
      <c r="D156" s="122"/>
      <c r="E156" s="124"/>
      <c r="F156" s="37"/>
      <c r="K156" s="39"/>
      <c r="L156" s="40"/>
    </row>
    <row r="157" spans="3:20" ht="18.75" customHeight="1">
      <c r="K157" s="39"/>
      <c r="L157" s="40"/>
    </row>
    <row r="158" spans="3:20" ht="18.75" customHeight="1">
      <c r="C158" s="119" t="s">
        <v>4023</v>
      </c>
      <c r="D158" s="120"/>
      <c r="E158" s="123" t="str">
        <f>エンティティ一覧!$O$2</f>
        <v>milscm_2023_009</v>
      </c>
      <c r="H158" s="36"/>
      <c r="I158" s="36"/>
      <c r="J158" s="36"/>
      <c r="L158" s="41"/>
    </row>
    <row r="159" spans="3:20" ht="18.75" customHeight="1">
      <c r="C159" s="121"/>
      <c r="D159" s="122"/>
      <c r="E159" s="124"/>
      <c r="F159" s="37"/>
      <c r="G159" s="38"/>
      <c r="H159" s="37"/>
      <c r="I159" s="37"/>
      <c r="J159" s="37"/>
      <c r="K159" s="37"/>
    </row>
    <row r="160" spans="3:20" ht="18.75" customHeight="1">
      <c r="F160" s="39"/>
      <c r="G160" s="40"/>
    </row>
    <row r="161" spans="2:23" ht="18.75" customHeight="1">
      <c r="C161" s="119" t="s">
        <v>3183</v>
      </c>
      <c r="D161" s="120"/>
      <c r="E161" s="123" t="str">
        <f>エンティティ一覧!$O$2</f>
        <v>milscm_2023_009</v>
      </c>
      <c r="G161" s="41"/>
    </row>
    <row r="162" spans="2:23" ht="18.75" customHeight="1">
      <c r="C162" s="121"/>
      <c r="D162" s="122"/>
      <c r="E162" s="124"/>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3986</v>
      </c>
      <c r="D166" s="52"/>
      <c r="W166" s="35" t="str">
        <f>"-- "&amp;B166&amp;" : "&amp;C166</f>
        <v>-- SQL_ID : 11_08</v>
      </c>
    </row>
    <row r="167" spans="2:23" ht="18.75" customHeight="1">
      <c r="B167" s="43" t="s">
        <v>158</v>
      </c>
      <c r="C167" s="127" t="s">
        <v>904</v>
      </c>
      <c r="D167" s="128"/>
      <c r="E167" s="128"/>
      <c r="F167" s="128"/>
      <c r="G167" s="128"/>
      <c r="H167" s="128"/>
      <c r="I167" s="128"/>
      <c r="J167" s="128"/>
      <c r="K167" s="128"/>
      <c r="L167" s="128"/>
      <c r="M167" s="128"/>
      <c r="N167" s="128"/>
      <c r="O167" s="128"/>
      <c r="P167" s="128"/>
      <c r="Q167" s="128"/>
      <c r="R167" s="128"/>
      <c r="S167" s="128"/>
      <c r="T167" s="128"/>
      <c r="U167" s="129"/>
      <c r="W167" s="35" t="str">
        <f>"-- "&amp;C167</f>
        <v>-- 組入れ_施設別患者数_取得</v>
      </c>
    </row>
    <row r="168" spans="2:23" ht="18.75" customHeight="1">
      <c r="B168" s="43" t="s">
        <v>159</v>
      </c>
      <c r="C168" s="130" t="s">
        <v>3809</v>
      </c>
      <c r="D168" s="131"/>
      <c r="E168" s="131"/>
      <c r="F168" s="131"/>
      <c r="G168" s="131"/>
      <c r="H168" s="131"/>
      <c r="I168" s="131"/>
      <c r="J168" s="131"/>
      <c r="K168" s="131"/>
      <c r="L168" s="131"/>
      <c r="M168" s="131"/>
      <c r="N168" s="131"/>
      <c r="O168" s="131"/>
      <c r="P168" s="131"/>
      <c r="Q168" s="131"/>
      <c r="R168" s="131"/>
      <c r="S168" s="131"/>
      <c r="T168" s="131"/>
      <c r="U168" s="132"/>
      <c r="W168" s="35" t="str">
        <f>"-- "&amp;C168</f>
        <v>-- 施設別の患者数の集計結果を取得する。　※事前調査時点の544名と比較して同程度であるか確認する。</v>
      </c>
    </row>
    <row r="170" spans="2:23" ht="18.75" customHeight="1">
      <c r="C170" s="119" t="s">
        <v>175</v>
      </c>
      <c r="D170" s="120"/>
      <c r="E170" s="123" t="s">
        <v>167</v>
      </c>
      <c r="F170" s="36"/>
      <c r="G170" s="36"/>
      <c r="H170" s="36"/>
      <c r="I170" s="36"/>
      <c r="J170" s="36"/>
      <c r="K170" s="36"/>
      <c r="L170" s="36"/>
      <c r="M170" s="36"/>
      <c r="N170" s="36"/>
      <c r="O170" s="36"/>
      <c r="P170" s="36"/>
      <c r="Q170" s="36"/>
      <c r="R170" s="119" t="s">
        <v>188</v>
      </c>
      <c r="S170" s="120"/>
      <c r="T170" s="123" t="s">
        <v>177</v>
      </c>
    </row>
    <row r="171" spans="2:23" ht="18.75" customHeight="1">
      <c r="C171" s="121"/>
      <c r="D171" s="122"/>
      <c r="E171" s="124"/>
      <c r="F171" s="37"/>
      <c r="G171" s="37"/>
      <c r="H171" s="37"/>
      <c r="I171" s="37"/>
      <c r="J171" s="37"/>
      <c r="K171" s="37"/>
      <c r="L171" s="37"/>
      <c r="M171" s="37"/>
      <c r="N171" s="37"/>
      <c r="O171" s="37"/>
      <c r="P171" s="37"/>
      <c r="Q171" s="37"/>
      <c r="R171" s="121"/>
      <c r="S171" s="122"/>
      <c r="T171" s="124"/>
    </row>
    <row r="173" spans="2:23" ht="18.75" customHeight="1" thickBot="1">
      <c r="B173" s="42"/>
      <c r="C173" s="42"/>
      <c r="D173" s="42"/>
      <c r="E173" s="42"/>
      <c r="F173" s="42"/>
      <c r="G173" s="42"/>
      <c r="H173" s="42"/>
      <c r="I173" s="42"/>
      <c r="J173" s="42"/>
      <c r="K173" s="42"/>
      <c r="L173" s="42"/>
      <c r="M173" s="42"/>
      <c r="N173" s="42"/>
      <c r="O173" s="42"/>
      <c r="P173" s="42"/>
      <c r="Q173" s="42"/>
      <c r="R173" s="42"/>
      <c r="S173" s="42"/>
      <c r="T173" s="42"/>
      <c r="U173" s="42"/>
    </row>
  </sheetData>
  <mergeCells count="112">
    <mergeCell ref="C16:U16"/>
    <mergeCell ref="C17:U17"/>
    <mergeCell ref="C19:D20"/>
    <mergeCell ref="E19:E20"/>
    <mergeCell ref="R19:S20"/>
    <mergeCell ref="T19:T20"/>
    <mergeCell ref="H116:I117"/>
    <mergeCell ref="J116:J117"/>
    <mergeCell ref="H119:I120"/>
    <mergeCell ref="J119:J120"/>
    <mergeCell ref="C95:D96"/>
    <mergeCell ref="E95:E96"/>
    <mergeCell ref="C110:D111"/>
    <mergeCell ref="E110:E111"/>
    <mergeCell ref="C113:D114"/>
    <mergeCell ref="E113:E114"/>
    <mergeCell ref="O83:O84"/>
    <mergeCell ref="C104:D105"/>
    <mergeCell ref="E104:E105"/>
    <mergeCell ref="H74:I75"/>
    <mergeCell ref="J74:J75"/>
    <mergeCell ref="H77:I78"/>
    <mergeCell ref="J77:J78"/>
    <mergeCell ref="H80:I81"/>
    <mergeCell ref="J80:J81"/>
    <mergeCell ref="C134:D135"/>
    <mergeCell ref="E134:E135"/>
    <mergeCell ref="H137:I138"/>
    <mergeCell ref="J137:J138"/>
    <mergeCell ref="C68:D69"/>
    <mergeCell ref="E68:E69"/>
    <mergeCell ref="H71:I72"/>
    <mergeCell ref="J71:J72"/>
    <mergeCell ref="M83:N84"/>
    <mergeCell ref="C125:U125"/>
    <mergeCell ref="C126:U126"/>
    <mergeCell ref="C128:D129"/>
    <mergeCell ref="E128:E129"/>
    <mergeCell ref="R128:S129"/>
    <mergeCell ref="T128:T129"/>
    <mergeCell ref="H131:I132"/>
    <mergeCell ref="J131:J132"/>
    <mergeCell ref="C161:D162"/>
    <mergeCell ref="E161:E162"/>
    <mergeCell ref="C155:D156"/>
    <mergeCell ref="E155:E156"/>
    <mergeCell ref="C158:D159"/>
    <mergeCell ref="E158:E159"/>
    <mergeCell ref="C144:U144"/>
    <mergeCell ref="C146:D147"/>
    <mergeCell ref="E146:E147"/>
    <mergeCell ref="R146:S147"/>
    <mergeCell ref="T146:T147"/>
    <mergeCell ref="C50:U50"/>
    <mergeCell ref="C51:U51"/>
    <mergeCell ref="C53:D54"/>
    <mergeCell ref="E53:E54"/>
    <mergeCell ref="R53:S54"/>
    <mergeCell ref="T53:T54"/>
    <mergeCell ref="C62:U62"/>
    <mergeCell ref="C63:U63"/>
    <mergeCell ref="C65:D66"/>
    <mergeCell ref="E65:E66"/>
    <mergeCell ref="T65:T66"/>
    <mergeCell ref="J31:J32"/>
    <mergeCell ref="C37:U37"/>
    <mergeCell ref="C38:U38"/>
    <mergeCell ref="C40:D41"/>
    <mergeCell ref="C167:U167"/>
    <mergeCell ref="C168:U168"/>
    <mergeCell ref="H107:I108"/>
    <mergeCell ref="J107:J108"/>
    <mergeCell ref="C90:U90"/>
    <mergeCell ref="C92:D93"/>
    <mergeCell ref="E92:E93"/>
    <mergeCell ref="R92:S93"/>
    <mergeCell ref="T92:T93"/>
    <mergeCell ref="C101:D102"/>
    <mergeCell ref="E101:E102"/>
    <mergeCell ref="C143:U143"/>
    <mergeCell ref="C149:D150"/>
    <mergeCell ref="E149:E150"/>
    <mergeCell ref="C152:D153"/>
    <mergeCell ref="E152:E153"/>
    <mergeCell ref="M43:N44"/>
    <mergeCell ref="O43:O44"/>
    <mergeCell ref="H98:I99"/>
    <mergeCell ref="J98:J99"/>
    <mergeCell ref="E40:E41"/>
    <mergeCell ref="R40:S41"/>
    <mergeCell ref="T40:T41"/>
    <mergeCell ref="R65:S66"/>
    <mergeCell ref="C170:D171"/>
    <mergeCell ref="E170:E171"/>
    <mergeCell ref="R170:S171"/>
    <mergeCell ref="T170:T171"/>
    <mergeCell ref="C4:U4"/>
    <mergeCell ref="C5:U5"/>
    <mergeCell ref="C7:D8"/>
    <mergeCell ref="E7:E8"/>
    <mergeCell ref="R7:S8"/>
    <mergeCell ref="T7:T8"/>
    <mergeCell ref="C10:D11"/>
    <mergeCell ref="E10:E11"/>
    <mergeCell ref="C89:U89"/>
    <mergeCell ref="C25:U25"/>
    <mergeCell ref="C26:U26"/>
    <mergeCell ref="C28:D29"/>
    <mergeCell ref="E28:E29"/>
    <mergeCell ref="R28:S29"/>
    <mergeCell ref="T28:T29"/>
    <mergeCell ref="H31:I3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80"/>
  <sheetViews>
    <sheetView showGridLines="0" topLeftCell="A54" zoomScaleNormal="100" workbookViewId="0">
      <selection activeCell="C66" sqref="C66:D67"/>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27" t="str">
        <f>R7&amp;"登録"</f>
        <v>患者ID一覧マスタ登録</v>
      </c>
      <c r="D4" s="128"/>
      <c r="E4" s="128"/>
      <c r="F4" s="128"/>
      <c r="G4" s="128"/>
      <c r="H4" s="128"/>
      <c r="I4" s="128"/>
      <c r="J4" s="128"/>
      <c r="K4" s="128"/>
      <c r="L4" s="128"/>
      <c r="M4" s="128"/>
      <c r="N4" s="128"/>
      <c r="O4" s="128"/>
      <c r="P4" s="128"/>
      <c r="Q4" s="128"/>
      <c r="R4" s="128"/>
      <c r="S4" s="128"/>
      <c r="T4" s="128"/>
      <c r="U4" s="129"/>
      <c r="W4" s="35" t="str">
        <f>"-- "&amp;C4</f>
        <v>-- 患者ID一覧マスタ登録</v>
      </c>
    </row>
    <row r="5" spans="2:23" ht="18.75" customHeight="1">
      <c r="B5" s="43" t="s">
        <v>159</v>
      </c>
      <c r="C5" s="130"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31"/>
      <c r="E5" s="131"/>
      <c r="F5" s="131"/>
      <c r="G5" s="131"/>
      <c r="H5" s="131"/>
      <c r="I5" s="131"/>
      <c r="J5" s="131"/>
      <c r="K5" s="131"/>
      <c r="L5" s="131"/>
      <c r="M5" s="131"/>
      <c r="N5" s="131"/>
      <c r="O5" s="131"/>
      <c r="P5" s="131"/>
      <c r="Q5" s="131"/>
      <c r="R5" s="131"/>
      <c r="S5" s="131"/>
      <c r="T5" s="131"/>
      <c r="U5" s="132"/>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9" t="s">
        <v>4091</v>
      </c>
      <c r="I7" s="120"/>
      <c r="J7" s="123" t="str">
        <f>エンティティ一覧!$O$2</f>
        <v>milscm_2023_009</v>
      </c>
      <c r="K7" s="36"/>
      <c r="M7" s="36"/>
      <c r="N7" s="36"/>
      <c r="O7" s="36"/>
      <c r="R7" s="119" t="s">
        <v>3734</v>
      </c>
      <c r="S7" s="120"/>
      <c r="T7" s="123" t="str">
        <f>エンティティ一覧!$O$2</f>
        <v>milscm_2023_009</v>
      </c>
    </row>
    <row r="8" spans="2:23" ht="18.75" customHeight="1">
      <c r="H8" s="121"/>
      <c r="I8" s="122"/>
      <c r="J8" s="124"/>
      <c r="K8" s="37"/>
      <c r="L8" s="38"/>
      <c r="M8" s="37"/>
      <c r="N8" s="37"/>
      <c r="O8" s="37"/>
      <c r="P8" s="37"/>
      <c r="Q8" s="38"/>
      <c r="R8" s="121"/>
      <c r="S8" s="122"/>
      <c r="T8" s="124"/>
    </row>
    <row r="9" spans="2:23" ht="18.75" customHeight="1">
      <c r="K9" s="39"/>
      <c r="L9" s="40"/>
      <c r="P9" s="39"/>
      <c r="Q9" s="40"/>
    </row>
    <row r="10" spans="2:23" ht="18.75" customHeight="1">
      <c r="C10" s="119" t="s">
        <v>4091</v>
      </c>
      <c r="D10" s="120"/>
      <c r="E10" s="123" t="str">
        <f>エンティティ一覧!$O$2</f>
        <v>milscm_2023_009</v>
      </c>
      <c r="H10" s="36"/>
      <c r="I10" s="36"/>
      <c r="J10" s="36"/>
      <c r="L10" s="41"/>
      <c r="P10" s="39"/>
      <c r="Q10" s="40"/>
    </row>
    <row r="11" spans="2:23" ht="18.75" customHeight="1">
      <c r="C11" s="121"/>
      <c r="D11" s="122"/>
      <c r="E11" s="124"/>
      <c r="F11" s="37"/>
      <c r="G11" s="38"/>
      <c r="H11" s="37"/>
      <c r="I11" s="37"/>
      <c r="J11" s="37"/>
      <c r="K11" s="37"/>
      <c r="P11" s="39"/>
      <c r="Q11" s="40"/>
    </row>
    <row r="12" spans="2:23" ht="18.75" customHeight="1">
      <c r="F12" s="39"/>
      <c r="G12" s="40"/>
      <c r="P12" s="39"/>
      <c r="Q12" s="40"/>
    </row>
    <row r="13" spans="2:23" ht="18.75" customHeight="1">
      <c r="C13" s="119" t="s">
        <v>175</v>
      </c>
      <c r="D13" s="120"/>
      <c r="E13" s="123" t="str">
        <f>エンティティ一覧!$O$2</f>
        <v>milscm_2023_009</v>
      </c>
      <c r="G13" s="41"/>
      <c r="P13" s="39"/>
      <c r="Q13" s="40"/>
    </row>
    <row r="14" spans="2:23" ht="18.75" customHeight="1">
      <c r="C14" s="121"/>
      <c r="D14" s="122"/>
      <c r="E14" s="124"/>
      <c r="F14" s="37"/>
      <c r="P14" s="39"/>
      <c r="Q14" s="40"/>
    </row>
    <row r="15" spans="2:23" ht="18.75" customHeight="1">
      <c r="P15" s="39"/>
      <c r="Q15" s="40"/>
    </row>
    <row r="16" spans="2:23" ht="18.75" customHeight="1">
      <c r="M16" s="119" t="s">
        <v>3667</v>
      </c>
      <c r="N16" s="120"/>
      <c r="O16" s="125" t="s">
        <v>162</v>
      </c>
      <c r="Q16" s="41"/>
    </row>
    <row r="17" spans="2:23" ht="18.75" customHeight="1">
      <c r="M17" s="121"/>
      <c r="N17" s="122"/>
      <c r="O17" s="126"/>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1"/>
      <c r="W21" s="35" t="str">
        <f>"-- "&amp;B21&amp;" : "&amp;C21</f>
        <v>-- SQL_ID : 21_02</v>
      </c>
    </row>
    <row r="22" spans="2:23" ht="18.75" customHeight="1">
      <c r="B22" s="43" t="s">
        <v>158</v>
      </c>
      <c r="C22" s="127" t="str">
        <f>R25&amp;"登録"</f>
        <v>施設マスタ登録</v>
      </c>
      <c r="D22" s="128"/>
      <c r="E22" s="128"/>
      <c r="F22" s="128"/>
      <c r="G22" s="128"/>
      <c r="H22" s="128"/>
      <c r="I22" s="128"/>
      <c r="J22" s="128"/>
      <c r="K22" s="128"/>
      <c r="L22" s="128"/>
      <c r="M22" s="128"/>
      <c r="N22" s="128"/>
      <c r="O22" s="128"/>
      <c r="P22" s="128"/>
      <c r="Q22" s="128"/>
      <c r="R22" s="128"/>
      <c r="S22" s="128"/>
      <c r="T22" s="128"/>
      <c r="U22" s="129"/>
      <c r="W22" s="35" t="str">
        <f>"-- "&amp;C22</f>
        <v>-- 施設マスタ登録</v>
      </c>
    </row>
    <row r="23" spans="2:23" ht="18.75" customHeight="1">
      <c r="B23" s="43" t="s">
        <v>159</v>
      </c>
      <c r="C23" s="145" t="str">
        <f>C25&amp;"テーブルに施設マスクIDを付与した結果を"&amp;R25&amp;"テーブルに格納する。"</f>
        <v>組入れ_対象施設テーブルに施設マスクIDを付与した結果を施設マスタテーブルに格納する。</v>
      </c>
      <c r="D23" s="146"/>
      <c r="E23" s="146"/>
      <c r="F23" s="146"/>
      <c r="G23" s="146"/>
      <c r="H23" s="146"/>
      <c r="I23" s="146"/>
      <c r="J23" s="146"/>
      <c r="K23" s="146"/>
      <c r="L23" s="146"/>
      <c r="M23" s="146"/>
      <c r="N23" s="146"/>
      <c r="O23" s="146"/>
      <c r="P23" s="146"/>
      <c r="Q23" s="146"/>
      <c r="R23" s="146"/>
      <c r="S23" s="146"/>
      <c r="T23" s="146"/>
      <c r="U23" s="147"/>
      <c r="W23" s="35" t="str">
        <f>"-- "&amp;C23</f>
        <v>-- 組入れ_対象施設テーブルに施設マスクIDを付与した結果を施設マスタテーブルに格納する。</v>
      </c>
    </row>
    <row r="25" spans="2:23" ht="18.75" customHeight="1">
      <c r="C25" s="119" t="s">
        <v>3669</v>
      </c>
      <c r="D25" s="120"/>
      <c r="E25" s="123" t="str">
        <f>エンティティ一覧!$O$2</f>
        <v>milscm_2023_009</v>
      </c>
      <c r="F25" s="36"/>
      <c r="G25" s="36"/>
      <c r="H25" s="36"/>
      <c r="I25" s="36"/>
      <c r="J25" s="36"/>
      <c r="K25" s="36"/>
      <c r="L25" s="36"/>
      <c r="M25" s="36"/>
      <c r="N25" s="36"/>
      <c r="O25" s="36"/>
      <c r="P25" s="36"/>
      <c r="Q25" s="36"/>
      <c r="R25" s="119" t="s">
        <v>4092</v>
      </c>
      <c r="S25" s="120"/>
      <c r="T25" s="123" t="str">
        <f>エンティティ一覧!$O$2</f>
        <v>milscm_2023_009</v>
      </c>
    </row>
    <row r="26" spans="2:23" ht="18.75" customHeight="1">
      <c r="C26" s="121"/>
      <c r="D26" s="122"/>
      <c r="E26" s="124"/>
      <c r="F26" s="37"/>
      <c r="G26" s="37"/>
      <c r="H26" s="37"/>
      <c r="I26" s="37"/>
      <c r="J26" s="37"/>
      <c r="K26" s="37"/>
      <c r="L26" s="37"/>
      <c r="M26" s="37"/>
      <c r="N26" s="37"/>
      <c r="O26" s="37"/>
      <c r="P26" s="37"/>
      <c r="Q26" s="37"/>
      <c r="R26" s="121"/>
      <c r="S26" s="122"/>
      <c r="T26" s="124"/>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903</v>
      </c>
      <c r="D30" s="109"/>
      <c r="W30" s="35" t="str">
        <f>"-- "&amp;B30&amp;" : "&amp;C30</f>
        <v>-- SQL_ID : 21_03</v>
      </c>
    </row>
    <row r="31" spans="2:23" ht="18.75" customHeight="1">
      <c r="B31" s="43" t="s">
        <v>158</v>
      </c>
      <c r="C31" s="127" t="str">
        <f>R34&amp;"登録"</f>
        <v>患者マスタ登録</v>
      </c>
      <c r="D31" s="128"/>
      <c r="E31" s="128"/>
      <c r="F31" s="128"/>
      <c r="G31" s="128"/>
      <c r="H31" s="128"/>
      <c r="I31" s="128"/>
      <c r="J31" s="128"/>
      <c r="K31" s="128"/>
      <c r="L31" s="128"/>
      <c r="M31" s="128"/>
      <c r="N31" s="128"/>
      <c r="O31" s="128"/>
      <c r="P31" s="128"/>
      <c r="Q31" s="128"/>
      <c r="R31" s="128"/>
      <c r="S31" s="128"/>
      <c r="T31" s="128"/>
      <c r="U31" s="129"/>
      <c r="W31" s="35" t="str">
        <f>"-- "&amp;C31</f>
        <v>-- 患者マスタ登録</v>
      </c>
    </row>
    <row r="32" spans="2:23" ht="18.75" customHeight="1">
      <c r="B32" s="43" t="s">
        <v>159</v>
      </c>
      <c r="C32" s="145"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46"/>
      <c r="E32" s="146"/>
      <c r="F32" s="146"/>
      <c r="G32" s="146"/>
      <c r="H32" s="146"/>
      <c r="I32" s="146"/>
      <c r="J32" s="146"/>
      <c r="K32" s="146"/>
      <c r="L32" s="146"/>
      <c r="M32" s="146"/>
      <c r="N32" s="146"/>
      <c r="O32" s="146"/>
      <c r="P32" s="146"/>
      <c r="Q32" s="146"/>
      <c r="R32" s="146"/>
      <c r="S32" s="146"/>
      <c r="T32" s="146"/>
      <c r="U32" s="147"/>
      <c r="W32" s="35" t="str">
        <f>"-- "&amp;C32</f>
        <v>-- 患者ID一覧マスタテーブルを施設IDと紐づけIDで集約し、マスクIDを付与した結果を患者マスタテーブルに格納する。</v>
      </c>
    </row>
    <row r="34" spans="2:23" ht="18.75" customHeight="1">
      <c r="C34" s="119" t="s">
        <v>3734</v>
      </c>
      <c r="D34" s="120"/>
      <c r="E34" s="123" t="str">
        <f>エンティティ一覧!$O$2</f>
        <v>milscm_2023_009</v>
      </c>
      <c r="F34" s="36"/>
      <c r="G34" s="36"/>
      <c r="H34" s="36"/>
      <c r="I34" s="36"/>
      <c r="J34" s="36"/>
      <c r="K34" s="36"/>
      <c r="L34" s="36"/>
      <c r="M34" s="36"/>
      <c r="N34" s="36"/>
      <c r="O34" s="36"/>
      <c r="P34" s="36"/>
      <c r="Q34" s="36"/>
      <c r="R34" s="119" t="s">
        <v>187</v>
      </c>
      <c r="S34" s="120"/>
      <c r="T34" s="123" t="str">
        <f>エンティティ一覧!$O$2</f>
        <v>milscm_2023_009</v>
      </c>
    </row>
    <row r="35" spans="2:23" ht="18.75" customHeight="1">
      <c r="C35" s="121"/>
      <c r="D35" s="122"/>
      <c r="E35" s="124"/>
      <c r="F35" s="37"/>
      <c r="G35" s="37"/>
      <c r="H35" s="37"/>
      <c r="I35" s="37"/>
      <c r="J35" s="37"/>
      <c r="K35" s="37"/>
      <c r="L35" s="38"/>
      <c r="M35" s="37"/>
      <c r="N35" s="37"/>
      <c r="O35" s="37"/>
      <c r="P35" s="37"/>
      <c r="Q35" s="37"/>
      <c r="R35" s="121"/>
      <c r="S35" s="122"/>
      <c r="T35" s="124"/>
    </row>
    <row r="36" spans="2:23" ht="18.75" customHeight="1">
      <c r="K36" s="39"/>
      <c r="L36" s="40"/>
    </row>
    <row r="37" spans="2:23" ht="18.75" customHeight="1">
      <c r="C37" s="119" t="s">
        <v>3848</v>
      </c>
      <c r="D37" s="120"/>
      <c r="E37" s="123" t="str">
        <f>エンティティ一覧!$O$2</f>
        <v>milscm_2023_009</v>
      </c>
      <c r="F37" s="36"/>
      <c r="G37" s="36"/>
      <c r="H37" s="36"/>
      <c r="I37" s="36"/>
      <c r="J37" s="36"/>
      <c r="L37" s="41"/>
    </row>
    <row r="38" spans="2:23" ht="18.75" customHeight="1">
      <c r="C38" s="121"/>
      <c r="D38" s="122"/>
      <c r="E38" s="124"/>
      <c r="F38" s="37"/>
      <c r="G38" s="37"/>
      <c r="H38" s="37"/>
      <c r="I38" s="37"/>
      <c r="J38" s="37"/>
      <c r="K38" s="37"/>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51" t="s">
        <v>4093</v>
      </c>
      <c r="D42" s="62"/>
      <c r="W42" s="35" t="str">
        <f>"-- "&amp;B42&amp;" : "&amp;C42</f>
        <v>-- SQL_ID : 21_04</v>
      </c>
    </row>
    <row r="43" spans="2:23" ht="18.75" customHeight="1">
      <c r="B43" s="43" t="s">
        <v>158</v>
      </c>
      <c r="C43" s="127" t="str">
        <f>R46&amp;"投入"</f>
        <v>疾患マスタ投入</v>
      </c>
      <c r="D43" s="128"/>
      <c r="E43" s="128"/>
      <c r="F43" s="128"/>
      <c r="G43" s="128"/>
      <c r="H43" s="128"/>
      <c r="I43" s="128"/>
      <c r="J43" s="128"/>
      <c r="K43" s="128"/>
      <c r="L43" s="128"/>
      <c r="M43" s="128"/>
      <c r="N43" s="128"/>
      <c r="O43" s="128"/>
      <c r="P43" s="128"/>
      <c r="Q43" s="128"/>
      <c r="R43" s="128"/>
      <c r="S43" s="128"/>
      <c r="T43" s="128"/>
      <c r="U43" s="129"/>
      <c r="W43" s="35" t="str">
        <f>"-- "&amp;C43</f>
        <v>-- 疾患マスタ投入</v>
      </c>
    </row>
    <row r="44" spans="2:23" ht="18.75" customHeight="1">
      <c r="B44" s="43" t="s">
        <v>159</v>
      </c>
      <c r="C44" s="130" t="s">
        <v>4094</v>
      </c>
      <c r="D44" s="131"/>
      <c r="E44" s="131"/>
      <c r="F44" s="131"/>
      <c r="G44" s="131"/>
      <c r="H44" s="131"/>
      <c r="I44" s="131"/>
      <c r="J44" s="131"/>
      <c r="K44" s="131"/>
      <c r="L44" s="131"/>
      <c r="M44" s="131"/>
      <c r="N44" s="131"/>
      <c r="O44" s="131"/>
      <c r="P44" s="131"/>
      <c r="Q44" s="131"/>
      <c r="R44" s="131"/>
      <c r="S44" s="131"/>
      <c r="T44" s="131"/>
      <c r="U44" s="132"/>
      <c r="W44" s="35" t="str">
        <f>"-- "&amp;C44</f>
        <v>-- 疾患マスタを疾患マスタに投入する。</v>
      </c>
    </row>
    <row r="46" spans="2:23" ht="18.75" customHeight="1">
      <c r="C46" s="119" t="s">
        <v>178</v>
      </c>
      <c r="D46" s="120"/>
      <c r="E46" s="123" t="s">
        <v>177</v>
      </c>
      <c r="F46" s="36"/>
      <c r="G46" s="36"/>
      <c r="H46" s="36"/>
      <c r="I46" s="36"/>
      <c r="J46" s="36"/>
      <c r="K46" s="36"/>
      <c r="L46" s="36"/>
      <c r="M46" s="36"/>
      <c r="N46" s="36"/>
      <c r="O46" s="36"/>
      <c r="P46" s="36"/>
      <c r="Q46" s="36"/>
      <c r="R46" s="119" t="s">
        <v>178</v>
      </c>
      <c r="S46" s="120"/>
      <c r="T46" s="123" t="str">
        <f>エンティティ一覧!$O$2</f>
        <v>milscm_2023_009</v>
      </c>
    </row>
    <row r="47" spans="2:23" ht="18.75" customHeight="1">
      <c r="C47" s="121"/>
      <c r="D47" s="122"/>
      <c r="E47" s="124"/>
      <c r="F47" s="37"/>
      <c r="G47" s="37"/>
      <c r="H47" s="37"/>
      <c r="I47" s="37"/>
      <c r="J47" s="37"/>
      <c r="K47" s="37"/>
      <c r="L47" s="37"/>
      <c r="M47" s="37"/>
      <c r="N47" s="37"/>
      <c r="O47" s="37"/>
      <c r="P47" s="37"/>
      <c r="Q47" s="37"/>
      <c r="R47" s="121"/>
      <c r="S47" s="122"/>
      <c r="T47" s="124"/>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4095</v>
      </c>
      <c r="D52" s="109"/>
      <c r="W52" s="35" t="str">
        <f>"-- "&amp;B52&amp;" : "&amp;C52</f>
        <v>-- SQL_ID : 21_05</v>
      </c>
    </row>
    <row r="53" spans="2:23" ht="18.75" customHeight="1">
      <c r="B53" s="43" t="s">
        <v>158</v>
      </c>
      <c r="C53" s="127" t="str">
        <f>R56&amp;"投入"</f>
        <v>薬剤マスタ投入</v>
      </c>
      <c r="D53" s="128"/>
      <c r="E53" s="128"/>
      <c r="F53" s="128"/>
      <c r="G53" s="128"/>
      <c r="H53" s="128"/>
      <c r="I53" s="128"/>
      <c r="J53" s="128"/>
      <c r="K53" s="128"/>
      <c r="L53" s="128"/>
      <c r="M53" s="128"/>
      <c r="N53" s="128"/>
      <c r="O53" s="128"/>
      <c r="P53" s="128"/>
      <c r="Q53" s="128"/>
      <c r="R53" s="128"/>
      <c r="S53" s="128"/>
      <c r="T53" s="128"/>
      <c r="U53" s="129"/>
      <c r="W53" s="35" t="str">
        <f>"-- "&amp;C53</f>
        <v>-- 薬剤マスタ投入</v>
      </c>
    </row>
    <row r="54" spans="2:23" ht="18.75" customHeight="1">
      <c r="B54" s="43" t="s">
        <v>159</v>
      </c>
      <c r="C54" s="130" t="s">
        <v>4096</v>
      </c>
      <c r="D54" s="131"/>
      <c r="E54" s="131"/>
      <c r="F54" s="131"/>
      <c r="G54" s="131"/>
      <c r="H54" s="131"/>
      <c r="I54" s="131"/>
      <c r="J54" s="131"/>
      <c r="K54" s="131"/>
      <c r="L54" s="131"/>
      <c r="M54" s="131"/>
      <c r="N54" s="131"/>
      <c r="O54" s="131"/>
      <c r="P54" s="131"/>
      <c r="Q54" s="131"/>
      <c r="R54" s="131"/>
      <c r="S54" s="131"/>
      <c r="T54" s="131"/>
      <c r="U54" s="132"/>
      <c r="W54" s="35" t="str">
        <f>"-- "&amp;C54</f>
        <v>-- 薬剤マスタを薬剤マスタに投入する。</v>
      </c>
    </row>
    <row r="56" spans="2:23" ht="18.75" customHeight="1">
      <c r="C56" s="119" t="s">
        <v>4089</v>
      </c>
      <c r="D56" s="120"/>
      <c r="E56" s="123" t="s">
        <v>177</v>
      </c>
      <c r="F56" s="36"/>
      <c r="G56" s="36"/>
      <c r="H56" s="36"/>
      <c r="I56" s="36"/>
      <c r="J56" s="36"/>
      <c r="K56" s="36"/>
      <c r="L56" s="36"/>
      <c r="M56" s="36"/>
      <c r="N56" s="36"/>
      <c r="O56" s="36"/>
      <c r="P56" s="36"/>
      <c r="Q56" s="36"/>
      <c r="R56" s="119" t="s">
        <v>4089</v>
      </c>
      <c r="S56" s="120"/>
      <c r="T56" s="123" t="str">
        <f>エンティティ一覧!$O$2</f>
        <v>milscm_2023_009</v>
      </c>
    </row>
    <row r="57" spans="2:23" ht="18.75" customHeight="1">
      <c r="C57" s="121"/>
      <c r="D57" s="122"/>
      <c r="E57" s="124"/>
      <c r="F57" s="37"/>
      <c r="G57" s="37"/>
      <c r="H57" s="37"/>
      <c r="I57" s="37"/>
      <c r="J57" s="37"/>
      <c r="K57" s="37"/>
      <c r="L57" s="37"/>
      <c r="M57" s="37"/>
      <c r="N57" s="37"/>
      <c r="O57" s="37"/>
      <c r="P57" s="37"/>
      <c r="Q57" s="37"/>
      <c r="R57" s="121"/>
      <c r="S57" s="122"/>
      <c r="T57" s="124"/>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4097</v>
      </c>
      <c r="D62" s="109"/>
      <c r="W62" s="35" t="str">
        <f>"-- "&amp;B62&amp;" : "&amp;C62</f>
        <v>-- SQL_ID : 21_06</v>
      </c>
    </row>
    <row r="63" spans="2:23" ht="18.75" customHeight="1">
      <c r="B63" s="43" t="s">
        <v>158</v>
      </c>
      <c r="C63" s="127" t="str">
        <f>R66&amp;"投入"</f>
        <v>検体検査マスタ投入</v>
      </c>
      <c r="D63" s="128"/>
      <c r="E63" s="128"/>
      <c r="F63" s="128"/>
      <c r="G63" s="128"/>
      <c r="H63" s="128"/>
      <c r="I63" s="128"/>
      <c r="J63" s="128"/>
      <c r="K63" s="128"/>
      <c r="L63" s="128"/>
      <c r="M63" s="128"/>
      <c r="N63" s="128"/>
      <c r="O63" s="128"/>
      <c r="P63" s="128"/>
      <c r="Q63" s="128"/>
      <c r="R63" s="128"/>
      <c r="S63" s="128"/>
      <c r="T63" s="128"/>
      <c r="U63" s="129"/>
      <c r="W63" s="35" t="str">
        <f>"-- "&amp;C63</f>
        <v>-- 検体検査マスタ投入</v>
      </c>
    </row>
    <row r="64" spans="2:23" ht="18.75" customHeight="1">
      <c r="B64" s="43" t="s">
        <v>159</v>
      </c>
      <c r="C64" s="130" t="s">
        <v>4098</v>
      </c>
      <c r="D64" s="131"/>
      <c r="E64" s="131"/>
      <c r="F64" s="131"/>
      <c r="G64" s="131"/>
      <c r="H64" s="131"/>
      <c r="I64" s="131"/>
      <c r="J64" s="131"/>
      <c r="K64" s="131"/>
      <c r="L64" s="131"/>
      <c r="M64" s="131"/>
      <c r="N64" s="131"/>
      <c r="O64" s="131"/>
      <c r="P64" s="131"/>
      <c r="Q64" s="131"/>
      <c r="R64" s="131"/>
      <c r="S64" s="131"/>
      <c r="T64" s="131"/>
      <c r="U64" s="132"/>
      <c r="W64" s="35" t="str">
        <f>"-- "&amp;C64</f>
        <v>-- 検体検査マスタを検体検査マスタに投入する。</v>
      </c>
    </row>
    <row r="66" spans="2:23" ht="18.75" customHeight="1">
      <c r="C66" s="119" t="s">
        <v>4068</v>
      </c>
      <c r="D66" s="120"/>
      <c r="E66" s="123" t="s">
        <v>177</v>
      </c>
      <c r="F66" s="36"/>
      <c r="G66" s="36"/>
      <c r="H66" s="36"/>
      <c r="I66" s="36"/>
      <c r="J66" s="36"/>
      <c r="K66" s="36"/>
      <c r="L66" s="36"/>
      <c r="M66" s="36"/>
      <c r="N66" s="36"/>
      <c r="O66" s="36"/>
      <c r="P66" s="36"/>
      <c r="Q66" s="36"/>
      <c r="R66" s="119" t="s">
        <v>4068</v>
      </c>
      <c r="S66" s="120"/>
      <c r="T66" s="123" t="str">
        <f>エンティティ一覧!$O$2</f>
        <v>milscm_2023_009</v>
      </c>
    </row>
    <row r="67" spans="2:23" ht="18.75" customHeight="1">
      <c r="C67" s="121"/>
      <c r="D67" s="122"/>
      <c r="E67" s="124"/>
      <c r="F67" s="37"/>
      <c r="G67" s="37"/>
      <c r="H67" s="37"/>
      <c r="I67" s="37"/>
      <c r="J67" s="37"/>
      <c r="K67" s="37"/>
      <c r="L67" s="37"/>
      <c r="M67" s="37"/>
      <c r="N67" s="37"/>
      <c r="O67" s="37"/>
      <c r="P67" s="37"/>
      <c r="Q67" s="37"/>
      <c r="R67" s="121"/>
      <c r="S67" s="122"/>
      <c r="T67" s="124"/>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4099</v>
      </c>
      <c r="D72" s="109"/>
      <c r="W72" s="35" t="str">
        <f>"-- "&amp;B72&amp;" : "&amp;C72</f>
        <v>-- SQL_ID : 21_07</v>
      </c>
    </row>
    <row r="73" spans="2:23" ht="18.75" customHeight="1">
      <c r="B73" s="43" t="s">
        <v>158</v>
      </c>
      <c r="C73" s="127" t="str">
        <f>R76&amp;"投入"</f>
        <v>診療行為マスタ投入</v>
      </c>
      <c r="D73" s="128"/>
      <c r="E73" s="128"/>
      <c r="F73" s="128"/>
      <c r="G73" s="128"/>
      <c r="H73" s="128"/>
      <c r="I73" s="128"/>
      <c r="J73" s="128"/>
      <c r="K73" s="128"/>
      <c r="L73" s="128"/>
      <c r="M73" s="128"/>
      <c r="N73" s="128"/>
      <c r="O73" s="128"/>
      <c r="P73" s="128"/>
      <c r="Q73" s="128"/>
      <c r="R73" s="128"/>
      <c r="S73" s="128"/>
      <c r="T73" s="128"/>
      <c r="U73" s="129"/>
      <c r="W73" s="35" t="str">
        <f>"-- "&amp;C73</f>
        <v>-- 診療行為マスタ投入</v>
      </c>
    </row>
    <row r="74" spans="2:23" ht="18.75" customHeight="1">
      <c r="B74" s="43" t="s">
        <v>159</v>
      </c>
      <c r="C74" s="130" t="s">
        <v>4100</v>
      </c>
      <c r="D74" s="131"/>
      <c r="E74" s="131"/>
      <c r="F74" s="131"/>
      <c r="G74" s="131"/>
      <c r="H74" s="131"/>
      <c r="I74" s="131"/>
      <c r="J74" s="131"/>
      <c r="K74" s="131"/>
      <c r="L74" s="131"/>
      <c r="M74" s="131"/>
      <c r="N74" s="131"/>
      <c r="O74" s="131"/>
      <c r="P74" s="131"/>
      <c r="Q74" s="131"/>
      <c r="R74" s="131"/>
      <c r="S74" s="131"/>
      <c r="T74" s="131"/>
      <c r="U74" s="132"/>
      <c r="W74" s="35" t="str">
        <f>"-- "&amp;C74</f>
        <v>-- 診療行為マスタを診療行為マスタに投入する。</v>
      </c>
    </row>
    <row r="76" spans="2:23" ht="18.75" customHeight="1">
      <c r="C76" s="119" t="s">
        <v>4087</v>
      </c>
      <c r="D76" s="120"/>
      <c r="E76" s="123" t="s">
        <v>177</v>
      </c>
      <c r="F76" s="36"/>
      <c r="G76" s="36"/>
      <c r="H76" s="36"/>
      <c r="I76" s="36"/>
      <c r="J76" s="36"/>
      <c r="K76" s="36"/>
      <c r="L76" s="36"/>
      <c r="M76" s="36"/>
      <c r="N76" s="36"/>
      <c r="O76" s="36"/>
      <c r="P76" s="36"/>
      <c r="Q76" s="36"/>
      <c r="R76" s="119" t="s">
        <v>4087</v>
      </c>
      <c r="S76" s="120"/>
      <c r="T76" s="123" t="str">
        <f>エンティティ一覧!$O$2</f>
        <v>milscm_2023_009</v>
      </c>
    </row>
    <row r="77" spans="2:23" ht="18.75" customHeight="1">
      <c r="C77" s="121"/>
      <c r="D77" s="122"/>
      <c r="E77" s="124"/>
      <c r="F77" s="37"/>
      <c r="G77" s="37"/>
      <c r="H77" s="37"/>
      <c r="I77" s="37"/>
      <c r="J77" s="37"/>
      <c r="K77" s="37"/>
      <c r="L77" s="37"/>
      <c r="M77" s="37"/>
      <c r="N77" s="37"/>
      <c r="O77" s="37"/>
      <c r="P77" s="37"/>
      <c r="Q77" s="37"/>
      <c r="R77" s="121"/>
      <c r="S77" s="122"/>
      <c r="T77" s="124"/>
    </row>
    <row r="80" spans="2:23" ht="18.75" customHeight="1" thickBot="1">
      <c r="B80" s="42"/>
      <c r="C80" s="42"/>
      <c r="D80" s="42"/>
      <c r="E80" s="42"/>
      <c r="F80" s="42"/>
      <c r="G80" s="42"/>
      <c r="H80" s="42"/>
      <c r="I80" s="42"/>
      <c r="J80" s="42"/>
      <c r="K80" s="42"/>
      <c r="L80" s="42"/>
      <c r="M80" s="42"/>
      <c r="N80" s="42"/>
      <c r="O80" s="42"/>
      <c r="P80" s="42"/>
      <c r="Q80" s="42"/>
      <c r="R80" s="42"/>
      <c r="S80" s="42"/>
      <c r="T80" s="42"/>
      <c r="U80" s="42"/>
    </row>
  </sheetData>
  <mergeCells count="50">
    <mergeCell ref="C73:U73"/>
    <mergeCell ref="C74:U74"/>
    <mergeCell ref="C76:D77"/>
    <mergeCell ref="E76:E77"/>
    <mergeCell ref="R76:S77"/>
    <mergeCell ref="T76:T77"/>
    <mergeCell ref="C63:U63"/>
    <mergeCell ref="C64:U64"/>
    <mergeCell ref="C66:D67"/>
    <mergeCell ref="E66:E67"/>
    <mergeCell ref="R66:S67"/>
    <mergeCell ref="T66:T67"/>
    <mergeCell ref="E37:E38"/>
    <mergeCell ref="C53:U53"/>
    <mergeCell ref="C54:U54"/>
    <mergeCell ref="C56:D57"/>
    <mergeCell ref="E56:E57"/>
    <mergeCell ref="R56:S57"/>
    <mergeCell ref="T56:T57"/>
    <mergeCell ref="C46:D47"/>
    <mergeCell ref="E46:E47"/>
    <mergeCell ref="R46:S47"/>
    <mergeCell ref="T46:T47"/>
    <mergeCell ref="O16:O17"/>
    <mergeCell ref="E25:E26"/>
    <mergeCell ref="T25:T26"/>
    <mergeCell ref="C43:U43"/>
    <mergeCell ref="C44:U44"/>
    <mergeCell ref="C25:D26"/>
    <mergeCell ref="C22:U22"/>
    <mergeCell ref="C23:U23"/>
    <mergeCell ref="R25:S26"/>
    <mergeCell ref="C31:U31"/>
    <mergeCell ref="C32:U32"/>
    <mergeCell ref="C34:D35"/>
    <mergeCell ref="E34:E35"/>
    <mergeCell ref="R34:S35"/>
    <mergeCell ref="T34:T35"/>
    <mergeCell ref="C37:D38"/>
    <mergeCell ref="C10:D11"/>
    <mergeCell ref="E10:E11"/>
    <mergeCell ref="C13:D14"/>
    <mergeCell ref="E13:E14"/>
    <mergeCell ref="M16:N17"/>
    <mergeCell ref="C4:U4"/>
    <mergeCell ref="C5:U5"/>
    <mergeCell ref="H7:I8"/>
    <mergeCell ref="J7:J8"/>
    <mergeCell ref="R7:S8"/>
    <mergeCell ref="T7:T8"/>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81"/>
  <sheetViews>
    <sheetView showGridLines="0" topLeftCell="A130" zoomScaleNormal="100" workbookViewId="0">
      <selection activeCell="C139" sqref="C139:D140"/>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3742</v>
      </c>
      <c r="D3" s="92"/>
      <c r="W3" s="35" t="str">
        <f>"-- "&amp;B3&amp;" : "&amp;C3</f>
        <v>-- SQL_ID : 31_A1-02</v>
      </c>
    </row>
    <row r="4" spans="2:23" ht="18.75" customHeight="1">
      <c r="B4" s="43" t="s">
        <v>158</v>
      </c>
      <c r="C4" s="127" t="str">
        <f>R7&amp;"登録"</f>
        <v>ベース_処方データ登録</v>
      </c>
      <c r="D4" s="128"/>
      <c r="E4" s="128"/>
      <c r="F4" s="128"/>
      <c r="G4" s="128"/>
      <c r="H4" s="128"/>
      <c r="I4" s="128"/>
      <c r="J4" s="128"/>
      <c r="K4" s="128"/>
      <c r="L4" s="128"/>
      <c r="M4" s="128"/>
      <c r="N4" s="128"/>
      <c r="O4" s="128"/>
      <c r="P4" s="128"/>
      <c r="Q4" s="128"/>
      <c r="R4" s="128"/>
      <c r="S4" s="128"/>
      <c r="T4" s="128"/>
      <c r="U4" s="129"/>
      <c r="W4" s="35" t="str">
        <f>"-- "&amp;C4</f>
        <v>-- ベース_処方データ登録</v>
      </c>
    </row>
    <row r="5" spans="2:23" ht="18.75" customHeight="1">
      <c r="B5" s="43" t="s">
        <v>159</v>
      </c>
      <c r="C5" s="130" t="str">
        <f>C7&amp;"テーブルから対象患者で絞り込んだ結果を"&amp;R7&amp;"テーブルに格納する。"</f>
        <v>バックアップ_処方データテーブルから対象患者で絞り込んだ結果をベース_処方データテーブルに格納する。</v>
      </c>
      <c r="D5" s="131"/>
      <c r="E5" s="131"/>
      <c r="F5" s="131"/>
      <c r="G5" s="131"/>
      <c r="H5" s="131"/>
      <c r="I5" s="131"/>
      <c r="J5" s="131"/>
      <c r="K5" s="131"/>
      <c r="L5" s="131"/>
      <c r="M5" s="131"/>
      <c r="N5" s="131"/>
      <c r="O5" s="131"/>
      <c r="P5" s="131"/>
      <c r="Q5" s="131"/>
      <c r="R5" s="131"/>
      <c r="S5" s="131"/>
      <c r="T5" s="131"/>
      <c r="U5" s="132"/>
      <c r="W5" s="35" t="str">
        <f>"-- "&amp;C5</f>
        <v>-- バックアップ_処方データテーブルから対象患者で絞り込んだ結果をベース_処方データテーブルに格納する。</v>
      </c>
    </row>
    <row r="7" spans="2:23" ht="18.75" customHeight="1">
      <c r="C7" s="119" t="s">
        <v>3741</v>
      </c>
      <c r="D7" s="120"/>
      <c r="E7" s="123" t="str">
        <f>エンティティ一覧!$O$2</f>
        <v>milscm_2023_009</v>
      </c>
      <c r="H7" s="36"/>
      <c r="I7" s="36"/>
      <c r="J7" s="36"/>
      <c r="K7" s="36"/>
      <c r="L7" s="36"/>
      <c r="M7" s="36"/>
      <c r="N7" s="36"/>
      <c r="O7" s="36"/>
      <c r="P7" s="36"/>
      <c r="Q7" s="36"/>
      <c r="R7" s="119" t="str">
        <f>"ベース"&amp;SUBSTITUTE(C7,"バックアップ","")</f>
        <v>ベース_処方データ</v>
      </c>
      <c r="S7" s="120"/>
      <c r="T7" s="123" t="str">
        <f>エンティティ一覧!$O$2</f>
        <v>milscm_2023_009</v>
      </c>
    </row>
    <row r="8" spans="2:23" ht="18.75" customHeight="1">
      <c r="C8" s="121"/>
      <c r="D8" s="122"/>
      <c r="E8" s="124"/>
      <c r="F8" s="37"/>
      <c r="G8" s="38"/>
      <c r="H8" s="37"/>
      <c r="I8" s="37"/>
      <c r="J8" s="37"/>
      <c r="K8" s="37"/>
      <c r="L8" s="37"/>
      <c r="M8" s="37"/>
      <c r="N8" s="37"/>
      <c r="O8" s="37"/>
      <c r="P8" s="37"/>
      <c r="Q8" s="37"/>
      <c r="R8" s="121"/>
      <c r="S8" s="122"/>
      <c r="T8" s="124"/>
    </row>
    <row r="9" spans="2:23" ht="18.75" customHeight="1">
      <c r="F9" s="39"/>
      <c r="G9" s="40"/>
    </row>
    <row r="10" spans="2:23" ht="18.75" customHeight="1">
      <c r="C10" s="119" t="s">
        <v>3740</v>
      </c>
      <c r="D10" s="120"/>
      <c r="E10" s="123" t="str">
        <f>エンティティ一覧!$O$2</f>
        <v>milscm_2023_009</v>
      </c>
      <c r="G10" s="41"/>
    </row>
    <row r="11" spans="2:23" ht="18.75" customHeight="1">
      <c r="C11" s="121"/>
      <c r="D11" s="122"/>
      <c r="E11" s="124"/>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3744</v>
      </c>
      <c r="D15" s="92"/>
      <c r="W15" s="35" t="str">
        <f>"-- "&amp;B15&amp;" : "&amp;C15</f>
        <v>-- SQL_ID : 31_A1-03</v>
      </c>
    </row>
    <row r="16" spans="2:23" ht="18.75" customHeight="1">
      <c r="B16" s="43" t="s">
        <v>158</v>
      </c>
      <c r="C16" s="127" t="str">
        <f>R19&amp;"登録"</f>
        <v>ベース_診療行為データ登録</v>
      </c>
      <c r="D16" s="128"/>
      <c r="E16" s="128"/>
      <c r="F16" s="128"/>
      <c r="G16" s="128"/>
      <c r="H16" s="128"/>
      <c r="I16" s="128"/>
      <c r="J16" s="128"/>
      <c r="K16" s="128"/>
      <c r="L16" s="128"/>
      <c r="M16" s="128"/>
      <c r="N16" s="128"/>
      <c r="O16" s="128"/>
      <c r="P16" s="128"/>
      <c r="Q16" s="128"/>
      <c r="R16" s="128"/>
      <c r="S16" s="128"/>
      <c r="T16" s="128"/>
      <c r="U16" s="129"/>
      <c r="W16" s="35" t="str">
        <f>"-- "&amp;C16</f>
        <v>-- ベース_診療行為データ登録</v>
      </c>
    </row>
    <row r="17" spans="2:23" ht="18.75" customHeight="1">
      <c r="B17" s="43" t="s">
        <v>159</v>
      </c>
      <c r="C17" s="130" t="str">
        <f>C19&amp;"テーブルから対象患者で絞り込んだ結果を"&amp;R19&amp;"テーブルに格納する。"</f>
        <v>バックアップ_診療行為データテーブルから対象患者で絞り込んだ結果をベース_診療行為データテーブルに格納する。</v>
      </c>
      <c r="D17" s="131"/>
      <c r="E17" s="131"/>
      <c r="F17" s="131"/>
      <c r="G17" s="131"/>
      <c r="H17" s="131"/>
      <c r="I17" s="131"/>
      <c r="J17" s="131"/>
      <c r="K17" s="131"/>
      <c r="L17" s="131"/>
      <c r="M17" s="131"/>
      <c r="N17" s="131"/>
      <c r="O17" s="131"/>
      <c r="P17" s="131"/>
      <c r="Q17" s="131"/>
      <c r="R17" s="131"/>
      <c r="S17" s="131"/>
      <c r="T17" s="131"/>
      <c r="U17" s="132"/>
      <c r="W17" s="35" t="str">
        <f>"-- "&amp;C17</f>
        <v>-- バックアップ_診療行為データテーブルから対象患者で絞り込んだ結果をベース_診療行為データテーブルに格納する。</v>
      </c>
    </row>
    <row r="19" spans="2:23" ht="18.75" customHeight="1">
      <c r="C19" s="119" t="s">
        <v>3743</v>
      </c>
      <c r="D19" s="120"/>
      <c r="E19" s="123" t="str">
        <f>エンティティ一覧!$O$2</f>
        <v>milscm_2023_009</v>
      </c>
      <c r="H19" s="36"/>
      <c r="I19" s="36"/>
      <c r="J19" s="36"/>
      <c r="K19" s="36"/>
      <c r="L19" s="36"/>
      <c r="M19" s="36"/>
      <c r="N19" s="36"/>
      <c r="O19" s="36"/>
      <c r="P19" s="36"/>
      <c r="Q19" s="36"/>
      <c r="R19" s="119" t="str">
        <f>"ベース"&amp;SUBSTITUTE(C19,"バックアップ","")</f>
        <v>ベース_診療行為データ</v>
      </c>
      <c r="S19" s="120"/>
      <c r="T19" s="123" t="str">
        <f>エンティティ一覧!$O$2</f>
        <v>milscm_2023_009</v>
      </c>
    </row>
    <row r="20" spans="2:23" ht="18.75" customHeight="1">
      <c r="C20" s="121"/>
      <c r="D20" s="122"/>
      <c r="E20" s="124"/>
      <c r="F20" s="37"/>
      <c r="G20" s="38"/>
      <c r="H20" s="37"/>
      <c r="I20" s="37"/>
      <c r="J20" s="37"/>
      <c r="K20" s="37"/>
      <c r="L20" s="37"/>
      <c r="M20" s="37"/>
      <c r="N20" s="37"/>
      <c r="O20" s="37"/>
      <c r="P20" s="37"/>
      <c r="Q20" s="37"/>
      <c r="R20" s="121"/>
      <c r="S20" s="122"/>
      <c r="T20" s="124"/>
    </row>
    <row r="21" spans="2:23" ht="18.75" customHeight="1">
      <c r="F21" s="39"/>
      <c r="G21" s="40"/>
    </row>
    <row r="22" spans="2:23" ht="18.75" customHeight="1">
      <c r="C22" s="119" t="s">
        <v>3740</v>
      </c>
      <c r="D22" s="120"/>
      <c r="E22" s="123" t="str">
        <f>エンティティ一覧!$O$2</f>
        <v>milscm_2023_009</v>
      </c>
      <c r="G22" s="41"/>
    </row>
    <row r="23" spans="2:23" ht="18.75" customHeight="1">
      <c r="C23" s="121"/>
      <c r="D23" s="122"/>
      <c r="E23" s="124"/>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3745</v>
      </c>
      <c r="D27" s="92"/>
      <c r="W27" s="35" t="str">
        <f>"-- "&amp;B27&amp;" : "&amp;C27</f>
        <v>-- SQL_ID : 31_A1-06</v>
      </c>
    </row>
    <row r="28" spans="2:23" ht="18.75" customHeight="1">
      <c r="B28" s="43" t="s">
        <v>158</v>
      </c>
      <c r="C28" s="127" t="str">
        <f>R31&amp;"登録"</f>
        <v>ベース_入院退院データ登録</v>
      </c>
      <c r="D28" s="128"/>
      <c r="E28" s="128"/>
      <c r="F28" s="128"/>
      <c r="G28" s="128"/>
      <c r="H28" s="128"/>
      <c r="I28" s="128"/>
      <c r="J28" s="128"/>
      <c r="K28" s="128"/>
      <c r="L28" s="128"/>
      <c r="M28" s="128"/>
      <c r="N28" s="128"/>
      <c r="O28" s="128"/>
      <c r="P28" s="128"/>
      <c r="Q28" s="128"/>
      <c r="R28" s="128"/>
      <c r="S28" s="128"/>
      <c r="T28" s="128"/>
      <c r="U28" s="129"/>
      <c r="W28" s="35" t="str">
        <f>"-- "&amp;C28</f>
        <v>-- ベース_入院退院データ登録</v>
      </c>
    </row>
    <row r="29" spans="2:23" ht="18.75" customHeight="1">
      <c r="B29" s="43" t="s">
        <v>159</v>
      </c>
      <c r="C29" s="130" t="str">
        <f>C31&amp;"テーブルから対象患者で絞り込んだ結果を"&amp;R31&amp;"テーブルに格納する。"</f>
        <v>バックアップ_入院退院データテーブルから対象患者で絞り込んだ結果をベース_入院退院データテーブルに格納する。</v>
      </c>
      <c r="D29" s="131"/>
      <c r="E29" s="131"/>
      <c r="F29" s="131"/>
      <c r="G29" s="131"/>
      <c r="H29" s="131"/>
      <c r="I29" s="131"/>
      <c r="J29" s="131"/>
      <c r="K29" s="131"/>
      <c r="L29" s="131"/>
      <c r="M29" s="131"/>
      <c r="N29" s="131"/>
      <c r="O29" s="131"/>
      <c r="P29" s="131"/>
      <c r="Q29" s="131"/>
      <c r="R29" s="131"/>
      <c r="S29" s="131"/>
      <c r="T29" s="131"/>
      <c r="U29" s="132"/>
      <c r="W29" s="35" t="str">
        <f>"-- "&amp;C29</f>
        <v>-- バックアップ_入院退院データテーブルから対象患者で絞り込んだ結果をベース_入院退院データテーブルに格納する。</v>
      </c>
    </row>
    <row r="31" spans="2:23" ht="18.75" customHeight="1">
      <c r="C31" s="119" t="s">
        <v>3746</v>
      </c>
      <c r="D31" s="120"/>
      <c r="E31" s="123" t="str">
        <f>エンティティ一覧!$O$2</f>
        <v>milscm_2023_009</v>
      </c>
      <c r="H31" s="36"/>
      <c r="I31" s="36"/>
      <c r="J31" s="36"/>
      <c r="K31" s="36"/>
      <c r="L31" s="36"/>
      <c r="M31" s="36"/>
      <c r="N31" s="36"/>
      <c r="O31" s="36"/>
      <c r="P31" s="36"/>
      <c r="Q31" s="36"/>
      <c r="R31" s="119" t="str">
        <f>"ベース"&amp;SUBSTITUTE(C31,"バックアップ","")</f>
        <v>ベース_入院退院データ</v>
      </c>
      <c r="S31" s="120"/>
      <c r="T31" s="123" t="str">
        <f>エンティティ一覧!$O$2</f>
        <v>milscm_2023_009</v>
      </c>
    </row>
    <row r="32" spans="2:23" ht="18.75" customHeight="1">
      <c r="C32" s="121"/>
      <c r="D32" s="122"/>
      <c r="E32" s="124"/>
      <c r="F32" s="37"/>
      <c r="G32" s="38"/>
      <c r="H32" s="37"/>
      <c r="I32" s="37"/>
      <c r="J32" s="37"/>
      <c r="K32" s="37"/>
      <c r="L32" s="37"/>
      <c r="M32" s="37"/>
      <c r="N32" s="37"/>
      <c r="O32" s="37"/>
      <c r="P32" s="37"/>
      <c r="Q32" s="37"/>
      <c r="R32" s="121"/>
      <c r="S32" s="122"/>
      <c r="T32" s="124"/>
    </row>
    <row r="33" spans="2:23" ht="18.75" customHeight="1">
      <c r="F33" s="39"/>
      <c r="G33" s="40"/>
    </row>
    <row r="34" spans="2:23" ht="18.75" customHeight="1">
      <c r="C34" s="119" t="s">
        <v>3740</v>
      </c>
      <c r="D34" s="120"/>
      <c r="E34" s="123" t="str">
        <f>エンティティ一覧!$O$2</f>
        <v>milscm_2023_009</v>
      </c>
      <c r="G34" s="41"/>
    </row>
    <row r="35" spans="2:23" ht="18.75" customHeight="1">
      <c r="C35" s="121"/>
      <c r="D35" s="122"/>
      <c r="E35" s="124"/>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3747</v>
      </c>
      <c r="D39" s="92"/>
      <c r="W39" s="35" t="str">
        <f>"-- "&amp;B39&amp;" : "&amp;C39</f>
        <v>-- SQL_ID : 31_A1-14</v>
      </c>
    </row>
    <row r="40" spans="2:23" ht="18.75" customHeight="1">
      <c r="B40" s="43" t="s">
        <v>158</v>
      </c>
      <c r="C40" s="127" t="str">
        <f>R43&amp;"登録"</f>
        <v>ベース_患者基本データ登録</v>
      </c>
      <c r="D40" s="128"/>
      <c r="E40" s="128"/>
      <c r="F40" s="128"/>
      <c r="G40" s="128"/>
      <c r="H40" s="128"/>
      <c r="I40" s="128"/>
      <c r="J40" s="128"/>
      <c r="K40" s="128"/>
      <c r="L40" s="128"/>
      <c r="M40" s="128"/>
      <c r="N40" s="128"/>
      <c r="O40" s="128"/>
      <c r="P40" s="128"/>
      <c r="Q40" s="128"/>
      <c r="R40" s="128"/>
      <c r="S40" s="128"/>
      <c r="T40" s="128"/>
      <c r="U40" s="129"/>
      <c r="W40" s="35" t="str">
        <f>"-- "&amp;C40</f>
        <v>-- ベース_患者基本データ登録</v>
      </c>
    </row>
    <row r="41" spans="2:23" ht="18.75" customHeight="1">
      <c r="B41" s="43" t="s">
        <v>159</v>
      </c>
      <c r="C41" s="130" t="str">
        <f>C43&amp;"テーブルから対象患者で絞り込んだ結果を"&amp;R43&amp;"テーブルに格納する。"</f>
        <v>バックアップ_患者基本データテーブルから対象患者で絞り込んだ結果をベース_患者基本データテーブルに格納する。</v>
      </c>
      <c r="D41" s="131"/>
      <c r="E41" s="131"/>
      <c r="F41" s="131"/>
      <c r="G41" s="131"/>
      <c r="H41" s="131"/>
      <c r="I41" s="131"/>
      <c r="J41" s="131"/>
      <c r="K41" s="131"/>
      <c r="L41" s="131"/>
      <c r="M41" s="131"/>
      <c r="N41" s="131"/>
      <c r="O41" s="131"/>
      <c r="P41" s="131"/>
      <c r="Q41" s="131"/>
      <c r="R41" s="131"/>
      <c r="S41" s="131"/>
      <c r="T41" s="131"/>
      <c r="U41" s="132"/>
      <c r="W41" s="35" t="str">
        <f>"-- "&amp;C41</f>
        <v>-- バックアップ_患者基本データテーブルから対象患者で絞り込んだ結果をベース_患者基本データテーブルに格納する。</v>
      </c>
    </row>
    <row r="43" spans="2:23" ht="18.75" customHeight="1">
      <c r="C43" s="119" t="s">
        <v>3748</v>
      </c>
      <c r="D43" s="120"/>
      <c r="E43" s="123" t="str">
        <f>エンティティ一覧!$O$2</f>
        <v>milscm_2023_009</v>
      </c>
      <c r="H43" s="36"/>
      <c r="I43" s="36"/>
      <c r="J43" s="36"/>
      <c r="K43" s="36"/>
      <c r="L43" s="36"/>
      <c r="M43" s="36"/>
      <c r="N43" s="36"/>
      <c r="O43" s="36"/>
      <c r="P43" s="36"/>
      <c r="Q43" s="36"/>
      <c r="R43" s="119" t="str">
        <f>"ベース"&amp;SUBSTITUTE(C43,"バックアップ","")</f>
        <v>ベース_患者基本データ</v>
      </c>
      <c r="S43" s="120"/>
      <c r="T43" s="123" t="str">
        <f>エンティティ一覧!$O$2</f>
        <v>milscm_2023_009</v>
      </c>
    </row>
    <row r="44" spans="2:23" ht="18.75" customHeight="1">
      <c r="C44" s="121"/>
      <c r="D44" s="122"/>
      <c r="E44" s="124"/>
      <c r="F44" s="37"/>
      <c r="G44" s="38"/>
      <c r="H44" s="37"/>
      <c r="I44" s="37"/>
      <c r="J44" s="37"/>
      <c r="K44" s="37"/>
      <c r="L44" s="37"/>
      <c r="M44" s="37"/>
      <c r="N44" s="37"/>
      <c r="O44" s="37"/>
      <c r="P44" s="37"/>
      <c r="Q44" s="37"/>
      <c r="R44" s="121"/>
      <c r="S44" s="122"/>
      <c r="T44" s="124"/>
    </row>
    <row r="45" spans="2:23" ht="18.75" customHeight="1">
      <c r="F45" s="39"/>
      <c r="G45" s="40"/>
    </row>
    <row r="46" spans="2:23" ht="18.75" customHeight="1">
      <c r="C46" s="119" t="s">
        <v>3740</v>
      </c>
      <c r="D46" s="120"/>
      <c r="E46" s="123" t="str">
        <f>エンティティ一覧!$O$2</f>
        <v>milscm_2023_009</v>
      </c>
      <c r="G46" s="41"/>
    </row>
    <row r="47" spans="2:23" ht="18.75" customHeight="1">
      <c r="C47" s="121"/>
      <c r="D47" s="122"/>
      <c r="E47" s="124"/>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3750</v>
      </c>
      <c r="D51" s="92"/>
      <c r="W51" s="35" t="str">
        <f>"-- "&amp;B51&amp;" : "&amp;C51</f>
        <v>-- SQL_ID : 31_A6-02</v>
      </c>
    </row>
    <row r="52" spans="2:23" ht="18.75" customHeight="1">
      <c r="B52" s="43" t="s">
        <v>158</v>
      </c>
      <c r="C52" s="127" t="str">
        <f>R55&amp;"登録"</f>
        <v>ベース_MML共通登録</v>
      </c>
      <c r="D52" s="128"/>
      <c r="E52" s="128"/>
      <c r="F52" s="128"/>
      <c r="G52" s="128"/>
      <c r="H52" s="128"/>
      <c r="I52" s="128"/>
      <c r="J52" s="128"/>
      <c r="K52" s="128"/>
      <c r="L52" s="128"/>
      <c r="M52" s="128"/>
      <c r="N52" s="128"/>
      <c r="O52" s="128"/>
      <c r="P52" s="128"/>
      <c r="Q52" s="128"/>
      <c r="R52" s="128"/>
      <c r="S52" s="128"/>
      <c r="T52" s="128"/>
      <c r="U52" s="129"/>
      <c r="W52" s="35" t="str">
        <f>"-- "&amp;C52</f>
        <v>-- ベース_MML共通登録</v>
      </c>
    </row>
    <row r="53" spans="2:23" ht="18.75" customHeight="1">
      <c r="B53" s="43" t="s">
        <v>159</v>
      </c>
      <c r="C53" s="130" t="str">
        <f>C55&amp;"テーブルから対象患者で絞り込んだ結果を"&amp;R55&amp;"テーブルに格納する。"</f>
        <v>バックアップ_MML共通テーブルから対象患者で絞り込んだ結果をベース_MML共通テーブルに格納する。</v>
      </c>
      <c r="D53" s="131"/>
      <c r="E53" s="131"/>
      <c r="F53" s="131"/>
      <c r="G53" s="131"/>
      <c r="H53" s="131"/>
      <c r="I53" s="131"/>
      <c r="J53" s="131"/>
      <c r="K53" s="131"/>
      <c r="L53" s="131"/>
      <c r="M53" s="131"/>
      <c r="N53" s="131"/>
      <c r="O53" s="131"/>
      <c r="P53" s="131"/>
      <c r="Q53" s="131"/>
      <c r="R53" s="131"/>
      <c r="S53" s="131"/>
      <c r="T53" s="131"/>
      <c r="U53" s="132"/>
      <c r="W53" s="35" t="str">
        <f>"-- "&amp;C53</f>
        <v>-- バックアップ_MML共通テーブルから対象患者で絞り込んだ結果をベース_MML共通テーブルに格納する。</v>
      </c>
    </row>
    <row r="55" spans="2:23" ht="18.75" customHeight="1">
      <c r="C55" s="119" t="s">
        <v>3749</v>
      </c>
      <c r="D55" s="120"/>
      <c r="E55" s="123" t="str">
        <f>エンティティ一覧!$O$2</f>
        <v>milscm_2023_009</v>
      </c>
      <c r="H55" s="36"/>
      <c r="I55" s="36"/>
      <c r="J55" s="36"/>
      <c r="K55" s="36"/>
      <c r="L55" s="36"/>
      <c r="M55" s="36"/>
      <c r="N55" s="36"/>
      <c r="O55" s="36"/>
      <c r="P55" s="36"/>
      <c r="Q55" s="36"/>
      <c r="R55" s="119" t="str">
        <f>"ベース"&amp;SUBSTITUTE(C55,"バックアップ","")</f>
        <v>ベース_MML共通</v>
      </c>
      <c r="S55" s="120"/>
      <c r="T55" s="123" t="str">
        <f>エンティティ一覧!$O$2</f>
        <v>milscm_2023_009</v>
      </c>
    </row>
    <row r="56" spans="2:23" ht="18.75" customHeight="1">
      <c r="C56" s="121"/>
      <c r="D56" s="122"/>
      <c r="E56" s="124"/>
      <c r="F56" s="37"/>
      <c r="G56" s="38"/>
      <c r="H56" s="37"/>
      <c r="I56" s="37"/>
      <c r="J56" s="37"/>
      <c r="K56" s="37"/>
      <c r="L56" s="37"/>
      <c r="M56" s="37"/>
      <c r="N56" s="37"/>
      <c r="O56" s="37"/>
      <c r="P56" s="37"/>
      <c r="Q56" s="37"/>
      <c r="R56" s="121"/>
      <c r="S56" s="122"/>
      <c r="T56" s="124"/>
    </row>
    <row r="57" spans="2:23" ht="18.75" customHeight="1">
      <c r="F57" s="39"/>
      <c r="G57" s="40"/>
    </row>
    <row r="58" spans="2:23" ht="18.75" customHeight="1">
      <c r="C58" s="119" t="s">
        <v>3740</v>
      </c>
      <c r="D58" s="120"/>
      <c r="E58" s="123" t="str">
        <f>エンティティ一覧!$O$2</f>
        <v>milscm_2023_009</v>
      </c>
      <c r="G58" s="41"/>
    </row>
    <row r="59" spans="2:23" ht="18.75" customHeight="1">
      <c r="C59" s="121"/>
      <c r="D59" s="122"/>
      <c r="E59" s="124"/>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3752</v>
      </c>
      <c r="D63" s="92"/>
      <c r="W63" s="35" t="str">
        <f>"-- "&amp;B63&amp;" : "&amp;C63</f>
        <v>-- SQL_ID : 31_A6-03</v>
      </c>
    </row>
    <row r="64" spans="2:23" ht="18.75" customHeight="1">
      <c r="B64" s="43" t="s">
        <v>158</v>
      </c>
      <c r="C64" s="127" t="str">
        <f>R67&amp;"登録"</f>
        <v>ベース_MML_診断履歴情報モジュール_本文登録</v>
      </c>
      <c r="D64" s="128"/>
      <c r="E64" s="128"/>
      <c r="F64" s="128"/>
      <c r="G64" s="128"/>
      <c r="H64" s="128"/>
      <c r="I64" s="128"/>
      <c r="J64" s="128"/>
      <c r="K64" s="128"/>
      <c r="L64" s="128"/>
      <c r="M64" s="128"/>
      <c r="N64" s="128"/>
      <c r="O64" s="128"/>
      <c r="P64" s="128"/>
      <c r="Q64" s="128"/>
      <c r="R64" s="128"/>
      <c r="S64" s="128"/>
      <c r="T64" s="128"/>
      <c r="U64" s="129"/>
      <c r="W64" s="35" t="str">
        <f>"-- "&amp;C64</f>
        <v>-- ベース_MML_診断履歴情報モジュール_本文登録</v>
      </c>
    </row>
    <row r="65" spans="2:23" ht="18.75" customHeight="1">
      <c r="B65" s="43" t="s">
        <v>159</v>
      </c>
      <c r="C65" s="130"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31"/>
      <c r="E65" s="131"/>
      <c r="F65" s="131"/>
      <c r="G65" s="131"/>
      <c r="H65" s="131"/>
      <c r="I65" s="131"/>
      <c r="J65" s="131"/>
      <c r="K65" s="131"/>
      <c r="L65" s="131"/>
      <c r="M65" s="131"/>
      <c r="N65" s="131"/>
      <c r="O65" s="131"/>
      <c r="P65" s="131"/>
      <c r="Q65" s="131"/>
      <c r="R65" s="131"/>
      <c r="S65" s="131"/>
      <c r="T65" s="131"/>
      <c r="U65" s="132"/>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19" t="s">
        <v>3751</v>
      </c>
      <c r="D67" s="120"/>
      <c r="E67" s="123" t="str">
        <f>エンティティ一覧!$O$2</f>
        <v>milscm_2023_009</v>
      </c>
      <c r="H67" s="36"/>
      <c r="I67" s="36"/>
      <c r="J67" s="36"/>
      <c r="K67" s="36"/>
      <c r="L67" s="36"/>
      <c r="M67" s="36"/>
      <c r="N67" s="36"/>
      <c r="O67" s="36"/>
      <c r="P67" s="36"/>
      <c r="Q67" s="36"/>
      <c r="R67" s="119" t="str">
        <f>"ベース"&amp;SUBSTITUTE(C67,"バックアップ","")</f>
        <v>ベース_MML_診断履歴情報モジュール_本文</v>
      </c>
      <c r="S67" s="120"/>
      <c r="T67" s="123" t="str">
        <f>エンティティ一覧!$O$2</f>
        <v>milscm_2023_009</v>
      </c>
    </row>
    <row r="68" spans="2:23" ht="18.75" customHeight="1">
      <c r="C68" s="121"/>
      <c r="D68" s="122"/>
      <c r="E68" s="124"/>
      <c r="F68" s="37"/>
      <c r="G68" s="38"/>
      <c r="H68" s="37"/>
      <c r="I68" s="37"/>
      <c r="J68" s="37"/>
      <c r="K68" s="37"/>
      <c r="L68" s="37"/>
      <c r="M68" s="37"/>
      <c r="N68" s="37"/>
      <c r="O68" s="37"/>
      <c r="P68" s="37"/>
      <c r="Q68" s="37"/>
      <c r="R68" s="121"/>
      <c r="S68" s="122"/>
      <c r="T68" s="124"/>
    </row>
    <row r="69" spans="2:23" ht="18.75" customHeight="1">
      <c r="F69" s="39"/>
      <c r="G69" s="40"/>
    </row>
    <row r="70" spans="2:23" ht="18.75" customHeight="1">
      <c r="C70" s="119" t="s">
        <v>3740</v>
      </c>
      <c r="D70" s="120"/>
      <c r="E70" s="123" t="str">
        <f>エンティティ一覧!$O$2</f>
        <v>milscm_2023_009</v>
      </c>
      <c r="G70" s="41"/>
    </row>
    <row r="71" spans="2:23" ht="18.75" customHeight="1">
      <c r="C71" s="121"/>
      <c r="D71" s="122"/>
      <c r="E71" s="124"/>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3753</v>
      </c>
      <c r="D75" s="92"/>
      <c r="W75" s="35" t="str">
        <f>"-- "&amp;B75&amp;" : "&amp;C75</f>
        <v>-- SQL_ID : 31_A6-04</v>
      </c>
    </row>
    <row r="76" spans="2:23" ht="18.75" customHeight="1">
      <c r="B76" s="43" t="s">
        <v>158</v>
      </c>
      <c r="C76" s="127" t="str">
        <f>R79&amp;"登録"</f>
        <v>ベース_MML_診断履歴情報モジュール_病名登録</v>
      </c>
      <c r="D76" s="128"/>
      <c r="E76" s="128"/>
      <c r="F76" s="128"/>
      <c r="G76" s="128"/>
      <c r="H76" s="128"/>
      <c r="I76" s="128"/>
      <c r="J76" s="128"/>
      <c r="K76" s="128"/>
      <c r="L76" s="128"/>
      <c r="M76" s="128"/>
      <c r="N76" s="128"/>
      <c r="O76" s="128"/>
      <c r="P76" s="128"/>
      <c r="Q76" s="128"/>
      <c r="R76" s="128"/>
      <c r="S76" s="128"/>
      <c r="T76" s="128"/>
      <c r="U76" s="129"/>
      <c r="W76" s="35" t="str">
        <f>"-- "&amp;C76</f>
        <v>-- ベース_MML_診断履歴情報モジュール_病名登録</v>
      </c>
    </row>
    <row r="77" spans="2:23" ht="18.75" customHeight="1">
      <c r="B77" s="43" t="s">
        <v>159</v>
      </c>
      <c r="C77" s="130"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31"/>
      <c r="E77" s="131"/>
      <c r="F77" s="131"/>
      <c r="G77" s="131"/>
      <c r="H77" s="131"/>
      <c r="I77" s="131"/>
      <c r="J77" s="131"/>
      <c r="K77" s="131"/>
      <c r="L77" s="131"/>
      <c r="M77" s="131"/>
      <c r="N77" s="131"/>
      <c r="O77" s="131"/>
      <c r="P77" s="131"/>
      <c r="Q77" s="131"/>
      <c r="R77" s="131"/>
      <c r="S77" s="131"/>
      <c r="T77" s="131"/>
      <c r="U77" s="132"/>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19" t="s">
        <v>3754</v>
      </c>
      <c r="D79" s="120"/>
      <c r="E79" s="123" t="str">
        <f>エンティティ一覧!$O$2</f>
        <v>milscm_2023_009</v>
      </c>
      <c r="H79" s="36"/>
      <c r="I79" s="36"/>
      <c r="J79" s="36"/>
      <c r="K79" s="36"/>
      <c r="L79" s="36"/>
      <c r="M79" s="36"/>
      <c r="N79" s="36"/>
      <c r="O79" s="36"/>
      <c r="P79" s="36"/>
      <c r="Q79" s="36"/>
      <c r="R79" s="119" t="str">
        <f>"ベース"&amp;SUBSTITUTE(C79,"バックアップ","")</f>
        <v>ベース_MML_診断履歴情報モジュール_病名</v>
      </c>
      <c r="S79" s="120"/>
      <c r="T79" s="123" t="str">
        <f>エンティティ一覧!$O$2</f>
        <v>milscm_2023_009</v>
      </c>
    </row>
    <row r="80" spans="2:23" ht="18.75" customHeight="1">
      <c r="C80" s="121"/>
      <c r="D80" s="122"/>
      <c r="E80" s="124"/>
      <c r="F80" s="37"/>
      <c r="G80" s="38"/>
      <c r="H80" s="37"/>
      <c r="I80" s="37"/>
      <c r="J80" s="37"/>
      <c r="K80" s="37"/>
      <c r="L80" s="37"/>
      <c r="M80" s="37"/>
      <c r="N80" s="37"/>
      <c r="O80" s="37"/>
      <c r="P80" s="37"/>
      <c r="Q80" s="37"/>
      <c r="R80" s="121"/>
      <c r="S80" s="122"/>
      <c r="T80" s="124"/>
    </row>
    <row r="81" spans="2:23" ht="18.75" customHeight="1">
      <c r="F81" s="39"/>
      <c r="G81" s="40"/>
    </row>
    <row r="82" spans="2:23" ht="18.75" customHeight="1">
      <c r="C82" s="119" t="s">
        <v>3740</v>
      </c>
      <c r="D82" s="120"/>
      <c r="E82" s="123" t="str">
        <f>エンティティ一覧!$O$2</f>
        <v>milscm_2023_009</v>
      </c>
      <c r="G82" s="41"/>
    </row>
    <row r="83" spans="2:23" ht="18.75" customHeight="1">
      <c r="C83" s="121"/>
      <c r="D83" s="122"/>
      <c r="E83" s="124"/>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4000</v>
      </c>
      <c r="D87" s="103"/>
      <c r="W87" s="35" t="str">
        <f>"-- "&amp;B87&amp;" : "&amp;C87</f>
        <v>-- SQL_ID : 31_A6-18</v>
      </c>
    </row>
    <row r="88" spans="2:23" ht="18.75" customHeight="1">
      <c r="B88" s="43" t="s">
        <v>158</v>
      </c>
      <c r="C88" s="127" t="str">
        <f>R91&amp;"登録"</f>
        <v>ベース_MML_検歴情報モジュール_本文登録</v>
      </c>
      <c r="D88" s="128"/>
      <c r="E88" s="128"/>
      <c r="F88" s="128"/>
      <c r="G88" s="128"/>
      <c r="H88" s="128"/>
      <c r="I88" s="128"/>
      <c r="J88" s="128"/>
      <c r="K88" s="128"/>
      <c r="L88" s="128"/>
      <c r="M88" s="128"/>
      <c r="N88" s="128"/>
      <c r="O88" s="128"/>
      <c r="P88" s="128"/>
      <c r="Q88" s="128"/>
      <c r="R88" s="128"/>
      <c r="S88" s="128"/>
      <c r="T88" s="128"/>
      <c r="U88" s="129"/>
      <c r="W88" s="35" t="str">
        <f>"-- "&amp;C88</f>
        <v>-- ベース_MML_検歴情報モジュール_本文登録</v>
      </c>
    </row>
    <row r="89" spans="2:23" ht="18.75" customHeight="1">
      <c r="B89" s="43" t="s">
        <v>159</v>
      </c>
      <c r="C89" s="130" t="str">
        <f>C91&amp;"テーブルから対象患者で絞り込んだ結果を"&amp;R91&amp;"テーブルに格納する。"</f>
        <v>バックアップ_MML_検歴情報モジュール_本文テーブルから対象患者で絞り込んだ結果をベース_MML_検歴情報モジュール_本文テーブルに格納する。</v>
      </c>
      <c r="D89" s="131"/>
      <c r="E89" s="131"/>
      <c r="F89" s="131"/>
      <c r="G89" s="131"/>
      <c r="H89" s="131"/>
      <c r="I89" s="131"/>
      <c r="J89" s="131"/>
      <c r="K89" s="131"/>
      <c r="L89" s="131"/>
      <c r="M89" s="131"/>
      <c r="N89" s="131"/>
      <c r="O89" s="131"/>
      <c r="P89" s="131"/>
      <c r="Q89" s="131"/>
      <c r="R89" s="131"/>
      <c r="S89" s="131"/>
      <c r="T89" s="131"/>
      <c r="U89" s="132"/>
      <c r="W89" s="35" t="str">
        <f>"-- "&amp;C89</f>
        <v>-- バックアップ_MML_検歴情報モジュール_本文テーブルから対象患者で絞り込んだ結果をベース_MML_検歴情報モジュール_本文テーブルに格納する。</v>
      </c>
    </row>
    <row r="91" spans="2:23" ht="18.75" customHeight="1">
      <c r="C91" s="119" t="s">
        <v>4001</v>
      </c>
      <c r="D91" s="120"/>
      <c r="E91" s="123" t="str">
        <f>エンティティ一覧!$O$2</f>
        <v>milscm_2023_009</v>
      </c>
      <c r="H91" s="36"/>
      <c r="I91" s="36"/>
      <c r="J91" s="36"/>
      <c r="K91" s="36"/>
      <c r="L91" s="36"/>
      <c r="M91" s="36"/>
      <c r="N91" s="36"/>
      <c r="O91" s="36"/>
      <c r="P91" s="36"/>
      <c r="Q91" s="36"/>
      <c r="R91" s="119" t="str">
        <f>"ベース"&amp;SUBSTITUTE(C91,"バックアップ","")</f>
        <v>ベース_MML_検歴情報モジュール_本文</v>
      </c>
      <c r="S91" s="120"/>
      <c r="T91" s="123" t="str">
        <f>エンティティ一覧!$O$2</f>
        <v>milscm_2023_009</v>
      </c>
    </row>
    <row r="92" spans="2:23" ht="18.75" customHeight="1">
      <c r="C92" s="121"/>
      <c r="D92" s="122"/>
      <c r="E92" s="124"/>
      <c r="F92" s="37"/>
      <c r="G92" s="38"/>
      <c r="H92" s="37"/>
      <c r="I92" s="37"/>
      <c r="J92" s="37"/>
      <c r="K92" s="37"/>
      <c r="L92" s="37"/>
      <c r="M92" s="37"/>
      <c r="N92" s="37"/>
      <c r="O92" s="37"/>
      <c r="P92" s="37"/>
      <c r="Q92" s="37"/>
      <c r="R92" s="121"/>
      <c r="S92" s="122"/>
      <c r="T92" s="124"/>
    </row>
    <row r="93" spans="2:23" ht="18.75" customHeight="1">
      <c r="F93" s="39"/>
      <c r="G93" s="40"/>
    </row>
    <row r="94" spans="2:23" ht="18.75" customHeight="1">
      <c r="C94" s="119" t="s">
        <v>3740</v>
      </c>
      <c r="D94" s="120"/>
      <c r="E94" s="123" t="str">
        <f>エンティティ一覧!$O$2</f>
        <v>milscm_2023_009</v>
      </c>
      <c r="G94" s="41"/>
    </row>
    <row r="95" spans="2:23" ht="18.75" customHeight="1">
      <c r="C95" s="121"/>
      <c r="D95" s="122"/>
      <c r="E95" s="124"/>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4002</v>
      </c>
      <c r="D99" s="103"/>
      <c r="W99" s="35" t="str">
        <f>"-- "&amp;B99&amp;" : "&amp;C99</f>
        <v>-- SQL_ID : 31_A6-19</v>
      </c>
    </row>
    <row r="100" spans="2:23" ht="18.75" customHeight="1">
      <c r="B100" s="43" t="s">
        <v>158</v>
      </c>
      <c r="C100" s="127" t="str">
        <f>R103&amp;"登録"</f>
        <v>ベース_MML_検歴情報モジュール_報告コメント登録</v>
      </c>
      <c r="D100" s="128"/>
      <c r="E100" s="128"/>
      <c r="F100" s="128"/>
      <c r="G100" s="128"/>
      <c r="H100" s="128"/>
      <c r="I100" s="128"/>
      <c r="J100" s="128"/>
      <c r="K100" s="128"/>
      <c r="L100" s="128"/>
      <c r="M100" s="128"/>
      <c r="N100" s="128"/>
      <c r="O100" s="128"/>
      <c r="P100" s="128"/>
      <c r="Q100" s="128"/>
      <c r="R100" s="128"/>
      <c r="S100" s="128"/>
      <c r="T100" s="128"/>
      <c r="U100" s="129"/>
      <c r="W100" s="35" t="str">
        <f>"-- "&amp;C100</f>
        <v>-- ベース_MML_検歴情報モジュール_報告コメント登録</v>
      </c>
    </row>
    <row r="101" spans="2:23" ht="18.75" customHeight="1">
      <c r="B101" s="43" t="s">
        <v>159</v>
      </c>
      <c r="C101" s="130" t="str">
        <f>C103&amp;"テーブルから対象患者で絞り込んだ結果を"&amp;R103&amp;"テーブルに格納する。"</f>
        <v>バックアップ_MML_検歴情報モジュール_報告コメントテーブルから対象患者で絞り込んだ結果をベース_MML_検歴情報モジュール_報告コメントテーブルに格納する。</v>
      </c>
      <c r="D101" s="131"/>
      <c r="E101" s="131"/>
      <c r="F101" s="131"/>
      <c r="G101" s="131"/>
      <c r="H101" s="131"/>
      <c r="I101" s="131"/>
      <c r="J101" s="131"/>
      <c r="K101" s="131"/>
      <c r="L101" s="131"/>
      <c r="M101" s="131"/>
      <c r="N101" s="131"/>
      <c r="O101" s="131"/>
      <c r="P101" s="131"/>
      <c r="Q101" s="131"/>
      <c r="R101" s="131"/>
      <c r="S101" s="131"/>
      <c r="T101" s="131"/>
      <c r="U101" s="132"/>
      <c r="W101" s="35" t="str">
        <f>"-- "&amp;C101</f>
        <v>-- バックアップ_MML_検歴情報モジュール_報告コメントテーブルから対象患者で絞り込んだ結果をベース_MML_検歴情報モジュール_報告コメントテーブルに格納する。</v>
      </c>
    </row>
    <row r="103" spans="2:23" ht="18.75" customHeight="1">
      <c r="C103" s="119" t="s">
        <v>4003</v>
      </c>
      <c r="D103" s="120"/>
      <c r="E103" s="123" t="str">
        <f>エンティティ一覧!$O$2</f>
        <v>milscm_2023_009</v>
      </c>
      <c r="H103" s="36"/>
      <c r="I103" s="36"/>
      <c r="J103" s="36"/>
      <c r="K103" s="36"/>
      <c r="L103" s="36"/>
      <c r="M103" s="36"/>
      <c r="N103" s="36"/>
      <c r="O103" s="36"/>
      <c r="P103" s="36"/>
      <c r="Q103" s="36"/>
      <c r="R103" s="119" t="str">
        <f>"ベース"&amp;SUBSTITUTE(C103,"バックアップ","")</f>
        <v>ベース_MML_検歴情報モジュール_報告コメント</v>
      </c>
      <c r="S103" s="120"/>
      <c r="T103" s="123" t="str">
        <f>エンティティ一覧!$O$2</f>
        <v>milscm_2023_009</v>
      </c>
    </row>
    <row r="104" spans="2:23" ht="18.75" customHeight="1">
      <c r="C104" s="121"/>
      <c r="D104" s="122"/>
      <c r="E104" s="124"/>
      <c r="F104" s="37"/>
      <c r="G104" s="38"/>
      <c r="H104" s="37"/>
      <c r="I104" s="37"/>
      <c r="J104" s="37"/>
      <c r="K104" s="37"/>
      <c r="L104" s="37"/>
      <c r="M104" s="37"/>
      <c r="N104" s="37"/>
      <c r="O104" s="37"/>
      <c r="P104" s="37"/>
      <c r="Q104" s="37"/>
      <c r="R104" s="121"/>
      <c r="S104" s="122"/>
      <c r="T104" s="124"/>
    </row>
    <row r="105" spans="2:23" ht="18.75" customHeight="1">
      <c r="F105" s="39"/>
      <c r="G105" s="40"/>
    </row>
    <row r="106" spans="2:23" ht="18.75" customHeight="1">
      <c r="C106" s="119" t="s">
        <v>3740</v>
      </c>
      <c r="D106" s="120"/>
      <c r="E106" s="123" t="str">
        <f>エンティティ一覧!$O$2</f>
        <v>milscm_2023_009</v>
      </c>
      <c r="G106" s="41"/>
    </row>
    <row r="107" spans="2:23" ht="18.75" customHeight="1">
      <c r="C107" s="121"/>
      <c r="D107" s="122"/>
      <c r="E107" s="124"/>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4004</v>
      </c>
      <c r="D111" s="103"/>
      <c r="W111" s="35" t="str">
        <f>"-- "&amp;B111&amp;" : "&amp;C111</f>
        <v>-- SQL_ID : 31_A6-20</v>
      </c>
    </row>
    <row r="112" spans="2:23" ht="18.75" customHeight="1">
      <c r="B112" s="43" t="s">
        <v>158</v>
      </c>
      <c r="C112" s="127" t="str">
        <f>R115&amp;"登録"</f>
        <v>ベース_MML_検歴情報モジュール_検体検査結果情報登録</v>
      </c>
      <c r="D112" s="128"/>
      <c r="E112" s="128"/>
      <c r="F112" s="128"/>
      <c r="G112" s="128"/>
      <c r="H112" s="128"/>
      <c r="I112" s="128"/>
      <c r="J112" s="128"/>
      <c r="K112" s="128"/>
      <c r="L112" s="128"/>
      <c r="M112" s="128"/>
      <c r="N112" s="128"/>
      <c r="O112" s="128"/>
      <c r="P112" s="128"/>
      <c r="Q112" s="128"/>
      <c r="R112" s="128"/>
      <c r="S112" s="128"/>
      <c r="T112" s="128"/>
      <c r="U112" s="129"/>
      <c r="W112" s="35" t="str">
        <f>"-- "&amp;C112</f>
        <v>-- ベース_MML_検歴情報モジュール_検体検査結果情報登録</v>
      </c>
    </row>
    <row r="113" spans="2:23" ht="18.75" customHeight="1">
      <c r="B113" s="43" t="s">
        <v>159</v>
      </c>
      <c r="C113" s="130" t="str">
        <f>C115&amp;"テーブルから対象患者で絞り込んだ結果を"&amp;R115&amp;"テーブルに格納する。"</f>
        <v>バックアップ_MML_検歴情報モジュール_検体検査結果情報テーブルから対象患者で絞り込んだ結果をベース_MML_検歴情報モジュール_検体検査結果情報テーブルに格納する。</v>
      </c>
      <c r="D113" s="131"/>
      <c r="E113" s="131"/>
      <c r="F113" s="131"/>
      <c r="G113" s="131"/>
      <c r="H113" s="131"/>
      <c r="I113" s="131"/>
      <c r="J113" s="131"/>
      <c r="K113" s="131"/>
      <c r="L113" s="131"/>
      <c r="M113" s="131"/>
      <c r="N113" s="131"/>
      <c r="O113" s="131"/>
      <c r="P113" s="131"/>
      <c r="Q113" s="131"/>
      <c r="R113" s="131"/>
      <c r="S113" s="131"/>
      <c r="T113" s="131"/>
      <c r="U113" s="132"/>
      <c r="W113" s="35" t="str">
        <f>"-- "&amp;C113</f>
        <v>-- バックアップ_MML_検歴情報モジュール_検体検査結果情報テーブルから対象患者で絞り込んだ結果をベース_MML_検歴情報モジュール_検体検査結果情報テーブルに格納する。</v>
      </c>
    </row>
    <row r="115" spans="2:23" ht="18.75" customHeight="1">
      <c r="C115" s="133" t="s">
        <v>4005</v>
      </c>
      <c r="D115" s="134"/>
      <c r="E115" s="123" t="str">
        <f>エンティティ一覧!$O$2</f>
        <v>milscm_2023_009</v>
      </c>
      <c r="H115" s="36"/>
      <c r="I115" s="36"/>
      <c r="J115" s="36"/>
      <c r="K115" s="36"/>
      <c r="L115" s="36"/>
      <c r="M115" s="36"/>
      <c r="N115" s="36"/>
      <c r="O115" s="36"/>
      <c r="P115" s="36"/>
      <c r="Q115" s="36"/>
      <c r="R115" s="119" t="str">
        <f>"ベース"&amp;SUBSTITUTE(C115,"バックアップ","")</f>
        <v>ベース_MML_検歴情報モジュール_検体検査結果情報</v>
      </c>
      <c r="S115" s="120"/>
      <c r="T115" s="123" t="str">
        <f>エンティティ一覧!$O$2</f>
        <v>milscm_2023_009</v>
      </c>
    </row>
    <row r="116" spans="2:23" ht="18.75" customHeight="1">
      <c r="C116" s="135"/>
      <c r="D116" s="136"/>
      <c r="E116" s="124"/>
      <c r="F116" s="37"/>
      <c r="G116" s="38"/>
      <c r="H116" s="37"/>
      <c r="I116" s="37"/>
      <c r="J116" s="37"/>
      <c r="K116" s="37"/>
      <c r="L116" s="37"/>
      <c r="M116" s="37"/>
      <c r="N116" s="37"/>
      <c r="O116" s="37"/>
      <c r="P116" s="37"/>
      <c r="Q116" s="37"/>
      <c r="R116" s="121"/>
      <c r="S116" s="122"/>
      <c r="T116" s="124"/>
    </row>
    <row r="117" spans="2:23" ht="18.75" customHeight="1">
      <c r="F117" s="39"/>
      <c r="G117" s="40"/>
    </row>
    <row r="118" spans="2:23" ht="18.75" customHeight="1">
      <c r="C118" s="119" t="s">
        <v>3740</v>
      </c>
      <c r="D118" s="120"/>
      <c r="E118" s="123" t="str">
        <f>エンティティ一覧!$O$2</f>
        <v>milscm_2023_009</v>
      </c>
      <c r="G118" s="41"/>
    </row>
    <row r="119" spans="2:23" ht="18.75" customHeight="1">
      <c r="C119" s="121"/>
      <c r="D119" s="122"/>
      <c r="E119" s="124"/>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4006</v>
      </c>
      <c r="D123" s="103"/>
      <c r="W123" s="35" t="str">
        <f>"-- "&amp;B123&amp;" : "&amp;C123</f>
        <v>-- SQL_ID : 31_A6-21</v>
      </c>
    </row>
    <row r="124" spans="2:23" ht="18.75" customHeight="1">
      <c r="B124" s="43" t="s">
        <v>158</v>
      </c>
      <c r="C124" s="127" t="str">
        <f>R127&amp;"登録"</f>
        <v>ベース_MML_検歴情報モジュール_検体コメント登録</v>
      </c>
      <c r="D124" s="128"/>
      <c r="E124" s="128"/>
      <c r="F124" s="128"/>
      <c r="G124" s="128"/>
      <c r="H124" s="128"/>
      <c r="I124" s="128"/>
      <c r="J124" s="128"/>
      <c r="K124" s="128"/>
      <c r="L124" s="128"/>
      <c r="M124" s="128"/>
      <c r="N124" s="128"/>
      <c r="O124" s="128"/>
      <c r="P124" s="128"/>
      <c r="Q124" s="128"/>
      <c r="R124" s="128"/>
      <c r="S124" s="128"/>
      <c r="T124" s="128"/>
      <c r="U124" s="129"/>
      <c r="W124" s="35" t="str">
        <f>"-- "&amp;C124</f>
        <v>-- ベース_MML_検歴情報モジュール_検体コメント登録</v>
      </c>
    </row>
    <row r="125" spans="2:23" ht="18.75" customHeight="1">
      <c r="B125" s="43" t="s">
        <v>159</v>
      </c>
      <c r="C125" s="130" t="str">
        <f>C127&amp;"テーブルから対象患者で絞り込んだ結果を"&amp;R127&amp;"テーブルに格納する。"</f>
        <v>バックアップ_MML_検歴情報モジュール_検体コメントテーブルから対象患者で絞り込んだ結果をベース_MML_検歴情報モジュール_検体コメントテーブルに格納する。</v>
      </c>
      <c r="D125" s="131"/>
      <c r="E125" s="131"/>
      <c r="F125" s="131"/>
      <c r="G125" s="131"/>
      <c r="H125" s="131"/>
      <c r="I125" s="131"/>
      <c r="J125" s="131"/>
      <c r="K125" s="131"/>
      <c r="L125" s="131"/>
      <c r="M125" s="131"/>
      <c r="N125" s="131"/>
      <c r="O125" s="131"/>
      <c r="P125" s="131"/>
      <c r="Q125" s="131"/>
      <c r="R125" s="131"/>
      <c r="S125" s="131"/>
      <c r="T125" s="131"/>
      <c r="U125" s="132"/>
      <c r="W125" s="35" t="str">
        <f>"-- "&amp;C125</f>
        <v>-- バックアップ_MML_検歴情報モジュール_検体コメントテーブルから対象患者で絞り込んだ結果をベース_MML_検歴情報モジュール_検体コメントテーブルに格納する。</v>
      </c>
    </row>
    <row r="127" spans="2:23" ht="18.75" customHeight="1">
      <c r="C127" s="133" t="s">
        <v>4007</v>
      </c>
      <c r="D127" s="134"/>
      <c r="E127" s="123" t="str">
        <f>エンティティ一覧!$O$2</f>
        <v>milscm_2023_009</v>
      </c>
      <c r="H127" s="36"/>
      <c r="I127" s="36"/>
      <c r="J127" s="36"/>
      <c r="K127" s="36"/>
      <c r="L127" s="36"/>
      <c r="M127" s="36"/>
      <c r="N127" s="36"/>
      <c r="O127" s="36"/>
      <c r="P127" s="36"/>
      <c r="Q127" s="36"/>
      <c r="R127" s="119" t="str">
        <f>"ベース"&amp;SUBSTITUTE(C127,"バックアップ","")</f>
        <v>ベース_MML_検歴情報モジュール_検体コメント</v>
      </c>
      <c r="S127" s="120"/>
      <c r="T127" s="123" t="str">
        <f>エンティティ一覧!$O$2</f>
        <v>milscm_2023_009</v>
      </c>
    </row>
    <row r="128" spans="2:23" ht="18.75" customHeight="1">
      <c r="C128" s="135"/>
      <c r="D128" s="136"/>
      <c r="E128" s="124"/>
      <c r="F128" s="37"/>
      <c r="G128" s="38"/>
      <c r="H128" s="37"/>
      <c r="I128" s="37"/>
      <c r="J128" s="37"/>
      <c r="K128" s="37"/>
      <c r="L128" s="37"/>
      <c r="M128" s="37"/>
      <c r="N128" s="37"/>
      <c r="O128" s="37"/>
      <c r="P128" s="37"/>
      <c r="Q128" s="37"/>
      <c r="R128" s="121"/>
      <c r="S128" s="122"/>
      <c r="T128" s="124"/>
    </row>
    <row r="129" spans="2:23" ht="18.75" customHeight="1">
      <c r="F129" s="39"/>
      <c r="G129" s="40"/>
    </row>
    <row r="130" spans="2:23" ht="18.75" customHeight="1">
      <c r="C130" s="119" t="s">
        <v>3740</v>
      </c>
      <c r="D130" s="120"/>
      <c r="E130" s="123" t="str">
        <f>エンティティ一覧!$O$2</f>
        <v>milscm_2023_009</v>
      </c>
      <c r="G130" s="41"/>
    </row>
    <row r="131" spans="2:23" ht="18.75" customHeight="1">
      <c r="C131" s="121"/>
      <c r="D131" s="122"/>
      <c r="E131" s="124"/>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4008</v>
      </c>
      <c r="D135" s="103"/>
      <c r="W135" s="35" t="str">
        <f>"-- "&amp;B135&amp;" : "&amp;C135</f>
        <v>-- SQL_ID : 31_A6-22</v>
      </c>
    </row>
    <row r="136" spans="2:23" ht="18.75" customHeight="1">
      <c r="B136" s="43" t="s">
        <v>158</v>
      </c>
      <c r="C136" s="127" t="str">
        <f>R139&amp;"登録"</f>
        <v>ベース_MML_検歴情報モジュール_検査項目登録</v>
      </c>
      <c r="D136" s="128"/>
      <c r="E136" s="128"/>
      <c r="F136" s="128"/>
      <c r="G136" s="128"/>
      <c r="H136" s="128"/>
      <c r="I136" s="128"/>
      <c r="J136" s="128"/>
      <c r="K136" s="128"/>
      <c r="L136" s="128"/>
      <c r="M136" s="128"/>
      <c r="N136" s="128"/>
      <c r="O136" s="128"/>
      <c r="P136" s="128"/>
      <c r="Q136" s="128"/>
      <c r="R136" s="128"/>
      <c r="S136" s="128"/>
      <c r="T136" s="128"/>
      <c r="U136" s="129"/>
      <c r="W136" s="35" t="str">
        <f>"-- "&amp;C136</f>
        <v>-- ベース_MML_検歴情報モジュール_検査項目登録</v>
      </c>
    </row>
    <row r="137" spans="2:23" ht="18.75" customHeight="1">
      <c r="B137" s="43" t="s">
        <v>159</v>
      </c>
      <c r="C137" s="130" t="str">
        <f>C139&amp;"テーブルから対象患者で絞り込んだ結果を"&amp;R139&amp;"テーブルに格納する。"</f>
        <v>バックアップ_MML_検歴情報モジュール_検査項目テーブルから対象患者で絞り込んだ結果をベース_MML_検歴情報モジュール_検査項目テーブルに格納する。</v>
      </c>
      <c r="D137" s="131"/>
      <c r="E137" s="131"/>
      <c r="F137" s="131"/>
      <c r="G137" s="131"/>
      <c r="H137" s="131"/>
      <c r="I137" s="131"/>
      <c r="J137" s="131"/>
      <c r="K137" s="131"/>
      <c r="L137" s="131"/>
      <c r="M137" s="131"/>
      <c r="N137" s="131"/>
      <c r="O137" s="131"/>
      <c r="P137" s="131"/>
      <c r="Q137" s="131"/>
      <c r="R137" s="131"/>
      <c r="S137" s="131"/>
      <c r="T137" s="131"/>
      <c r="U137" s="132"/>
      <c r="W137" s="35" t="str">
        <f>"-- "&amp;C137</f>
        <v>-- バックアップ_MML_検歴情報モジュール_検査項目テーブルから対象患者で絞り込んだ結果をベース_MML_検歴情報モジュール_検査項目テーブルに格納する。</v>
      </c>
    </row>
    <row r="139" spans="2:23" ht="18.75" customHeight="1">
      <c r="C139" s="133" t="s">
        <v>4009</v>
      </c>
      <c r="D139" s="134"/>
      <c r="E139" s="123" t="str">
        <f>エンティティ一覧!$O$2</f>
        <v>milscm_2023_009</v>
      </c>
      <c r="H139" s="36"/>
      <c r="I139" s="36"/>
      <c r="J139" s="36"/>
      <c r="K139" s="36"/>
      <c r="L139" s="36"/>
      <c r="M139" s="36"/>
      <c r="N139" s="36"/>
      <c r="O139" s="36"/>
      <c r="P139" s="36"/>
      <c r="Q139" s="36"/>
      <c r="R139" s="119" t="str">
        <f>"ベース"&amp;SUBSTITUTE(C139,"バックアップ","")</f>
        <v>ベース_MML_検歴情報モジュール_検査項目</v>
      </c>
      <c r="S139" s="120"/>
      <c r="T139" s="123" t="str">
        <f>エンティティ一覧!$O$2</f>
        <v>milscm_2023_009</v>
      </c>
    </row>
    <row r="140" spans="2:23" ht="18.75" customHeight="1">
      <c r="C140" s="135"/>
      <c r="D140" s="136"/>
      <c r="E140" s="124"/>
      <c r="F140" s="37"/>
      <c r="G140" s="38"/>
      <c r="H140" s="37"/>
      <c r="I140" s="37"/>
      <c r="J140" s="37"/>
      <c r="K140" s="37"/>
      <c r="L140" s="37"/>
      <c r="M140" s="37"/>
      <c r="N140" s="37"/>
      <c r="O140" s="37"/>
      <c r="P140" s="37"/>
      <c r="Q140" s="37"/>
      <c r="R140" s="121"/>
      <c r="S140" s="122"/>
      <c r="T140" s="124"/>
    </row>
    <row r="141" spans="2:23" ht="18.75" customHeight="1">
      <c r="F141" s="39"/>
      <c r="G141" s="40"/>
    </row>
    <row r="142" spans="2:23" ht="18.75" customHeight="1">
      <c r="C142" s="119" t="s">
        <v>3740</v>
      </c>
      <c r="D142" s="120"/>
      <c r="E142" s="123" t="str">
        <f>エンティティ一覧!$O$2</f>
        <v>milscm_2023_009</v>
      </c>
      <c r="G142" s="41"/>
    </row>
    <row r="143" spans="2:23" ht="18.75" customHeight="1">
      <c r="C143" s="121"/>
      <c r="D143" s="122"/>
      <c r="E143" s="124"/>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4010</v>
      </c>
      <c r="D147" s="103"/>
      <c r="W147" s="35" t="str">
        <f>"-- "&amp;B147&amp;" : "&amp;C147</f>
        <v>-- SQL_ID : 31_A6-23</v>
      </c>
    </row>
    <row r="148" spans="2:23" ht="18.75" customHeight="1">
      <c r="B148" s="43" t="s">
        <v>158</v>
      </c>
      <c r="C148" s="127" t="str">
        <f>R151&amp;"登録"</f>
        <v>ベース_MML_検歴情報モジュール_検査項目コメント登録</v>
      </c>
      <c r="D148" s="128"/>
      <c r="E148" s="128"/>
      <c r="F148" s="128"/>
      <c r="G148" s="128"/>
      <c r="H148" s="128"/>
      <c r="I148" s="128"/>
      <c r="J148" s="128"/>
      <c r="K148" s="128"/>
      <c r="L148" s="128"/>
      <c r="M148" s="128"/>
      <c r="N148" s="128"/>
      <c r="O148" s="128"/>
      <c r="P148" s="128"/>
      <c r="Q148" s="128"/>
      <c r="R148" s="128"/>
      <c r="S148" s="128"/>
      <c r="T148" s="128"/>
      <c r="U148" s="129"/>
      <c r="W148" s="35" t="str">
        <f>"-- "&amp;C148</f>
        <v>-- ベース_MML_検歴情報モジュール_検査項目コメント登録</v>
      </c>
    </row>
    <row r="149" spans="2:23" ht="18.75" customHeight="1">
      <c r="B149" s="43" t="s">
        <v>159</v>
      </c>
      <c r="C149" s="130" t="str">
        <f>C151&amp;"テーブルから対象患者で絞り込んだ結果を"&amp;R151&amp;"テーブルに格納する。"</f>
        <v>バックアップ_MML_検歴情報モジュール_検査項目コメントテーブルから対象患者で絞り込んだ結果をベース_MML_検歴情報モジュール_検査項目コメントテーブルに格納する。</v>
      </c>
      <c r="D149" s="131"/>
      <c r="E149" s="131"/>
      <c r="F149" s="131"/>
      <c r="G149" s="131"/>
      <c r="H149" s="131"/>
      <c r="I149" s="131"/>
      <c r="J149" s="131"/>
      <c r="K149" s="131"/>
      <c r="L149" s="131"/>
      <c r="M149" s="131"/>
      <c r="N149" s="131"/>
      <c r="O149" s="131"/>
      <c r="P149" s="131"/>
      <c r="Q149" s="131"/>
      <c r="R149" s="131"/>
      <c r="S149" s="131"/>
      <c r="T149" s="131"/>
      <c r="U149" s="132"/>
      <c r="W149" s="35" t="str">
        <f>"-- "&amp;C149</f>
        <v>-- バックアップ_MML_検歴情報モジュール_検査項目コメントテーブルから対象患者で絞り込んだ結果をベース_MML_検歴情報モジュール_検査項目コメントテーブルに格納する。</v>
      </c>
    </row>
    <row r="151" spans="2:23" ht="18.75" customHeight="1">
      <c r="C151" s="133" t="s">
        <v>4011</v>
      </c>
      <c r="D151" s="134"/>
      <c r="E151" s="123" t="str">
        <f>エンティティ一覧!$O$2</f>
        <v>milscm_2023_009</v>
      </c>
      <c r="H151" s="36"/>
      <c r="I151" s="36"/>
      <c r="J151" s="36"/>
      <c r="K151" s="36"/>
      <c r="L151" s="36"/>
      <c r="M151" s="36"/>
      <c r="N151" s="36"/>
      <c r="O151" s="36"/>
      <c r="P151" s="36"/>
      <c r="Q151" s="36"/>
      <c r="R151" s="119" t="str">
        <f>"ベース"&amp;SUBSTITUTE(C151,"バックアップ","")</f>
        <v>ベース_MML_検歴情報モジュール_検査項目コメント</v>
      </c>
      <c r="S151" s="120"/>
      <c r="T151" s="123" t="str">
        <f>エンティティ一覧!$O$2</f>
        <v>milscm_2023_009</v>
      </c>
    </row>
    <row r="152" spans="2:23" ht="18.75" customHeight="1">
      <c r="C152" s="135"/>
      <c r="D152" s="136"/>
      <c r="E152" s="124"/>
      <c r="F152" s="37"/>
      <c r="G152" s="38"/>
      <c r="H152" s="37"/>
      <c r="I152" s="37"/>
      <c r="J152" s="37"/>
      <c r="K152" s="37"/>
      <c r="L152" s="37"/>
      <c r="M152" s="37"/>
      <c r="N152" s="37"/>
      <c r="O152" s="37"/>
      <c r="P152" s="37"/>
      <c r="Q152" s="37"/>
      <c r="R152" s="121"/>
      <c r="S152" s="122"/>
      <c r="T152" s="124"/>
    </row>
    <row r="153" spans="2:23" ht="18.75" customHeight="1">
      <c r="F153" s="39"/>
      <c r="G153" s="40"/>
    </row>
    <row r="154" spans="2:23" ht="18.75" customHeight="1">
      <c r="C154" s="119" t="s">
        <v>3740</v>
      </c>
      <c r="D154" s="120"/>
      <c r="E154" s="123" t="str">
        <f>エンティティ一覧!$O$2</f>
        <v>milscm_2023_009</v>
      </c>
      <c r="G154" s="41"/>
    </row>
    <row r="155" spans="2:23" ht="18.75" customHeight="1">
      <c r="C155" s="121"/>
      <c r="D155" s="122"/>
      <c r="E155" s="124"/>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3755</v>
      </c>
      <c r="D159" s="92"/>
      <c r="W159" s="35" t="str">
        <f>"-- "&amp;B159&amp;" : "&amp;C159</f>
        <v>-- SQL_ID : 31_A6-24</v>
      </c>
    </row>
    <row r="160" spans="2:23" ht="18.75" customHeight="1">
      <c r="B160" s="43" t="s">
        <v>158</v>
      </c>
      <c r="C160" s="127" t="str">
        <f>R163&amp;"登録"</f>
        <v>ベース_MML_処方箋モジュール_本文登録</v>
      </c>
      <c r="D160" s="128"/>
      <c r="E160" s="128"/>
      <c r="F160" s="128"/>
      <c r="G160" s="128"/>
      <c r="H160" s="128"/>
      <c r="I160" s="128"/>
      <c r="J160" s="128"/>
      <c r="K160" s="128"/>
      <c r="L160" s="128"/>
      <c r="M160" s="128"/>
      <c r="N160" s="128"/>
      <c r="O160" s="128"/>
      <c r="P160" s="128"/>
      <c r="Q160" s="128"/>
      <c r="R160" s="128"/>
      <c r="S160" s="128"/>
      <c r="T160" s="128"/>
      <c r="U160" s="129"/>
      <c r="W160" s="35" t="str">
        <f>"-- "&amp;C160</f>
        <v>-- ベース_MML_処方箋モジュール_本文登録</v>
      </c>
    </row>
    <row r="161" spans="2:23" ht="18.75" customHeight="1">
      <c r="B161" s="43" t="s">
        <v>159</v>
      </c>
      <c r="C161" s="130" t="str">
        <f>C163&amp;"テーブルから対象患者で絞り込んだ結果を"&amp;R163&amp;"テーブルに格納する。"</f>
        <v>バックアップ_MML_処方箋モジュール_本文テーブルから対象患者で絞り込んだ結果をベース_MML_処方箋モジュール_本文テーブルに格納する。</v>
      </c>
      <c r="D161" s="131"/>
      <c r="E161" s="131"/>
      <c r="F161" s="131"/>
      <c r="G161" s="131"/>
      <c r="H161" s="131"/>
      <c r="I161" s="131"/>
      <c r="J161" s="131"/>
      <c r="K161" s="131"/>
      <c r="L161" s="131"/>
      <c r="M161" s="131"/>
      <c r="N161" s="131"/>
      <c r="O161" s="131"/>
      <c r="P161" s="131"/>
      <c r="Q161" s="131"/>
      <c r="R161" s="131"/>
      <c r="S161" s="131"/>
      <c r="T161" s="131"/>
      <c r="U161" s="132"/>
      <c r="W161" s="35" t="str">
        <f>"-- "&amp;C161</f>
        <v>-- バックアップ_MML_処方箋モジュール_本文テーブルから対象患者で絞り込んだ結果をベース_MML_処方箋モジュール_本文テーブルに格納する。</v>
      </c>
    </row>
    <row r="163" spans="2:23" ht="18.75" customHeight="1">
      <c r="C163" s="119" t="s">
        <v>3756</v>
      </c>
      <c r="D163" s="120"/>
      <c r="E163" s="123" t="str">
        <f>エンティティ一覧!$O$2</f>
        <v>milscm_2023_009</v>
      </c>
      <c r="H163" s="36"/>
      <c r="I163" s="36"/>
      <c r="J163" s="36"/>
      <c r="K163" s="36"/>
      <c r="L163" s="36"/>
      <c r="M163" s="36"/>
      <c r="N163" s="36"/>
      <c r="O163" s="36"/>
      <c r="P163" s="36"/>
      <c r="Q163" s="36"/>
      <c r="R163" s="119" t="str">
        <f>"ベース"&amp;SUBSTITUTE(C163,"バックアップ","")</f>
        <v>ベース_MML_処方箋モジュール_本文</v>
      </c>
      <c r="S163" s="120"/>
      <c r="T163" s="123" t="str">
        <f>エンティティ一覧!$O$2</f>
        <v>milscm_2023_009</v>
      </c>
    </row>
    <row r="164" spans="2:23" ht="18.75" customHeight="1">
      <c r="C164" s="121"/>
      <c r="D164" s="122"/>
      <c r="E164" s="124"/>
      <c r="F164" s="37"/>
      <c r="G164" s="38"/>
      <c r="H164" s="37"/>
      <c r="I164" s="37"/>
      <c r="J164" s="37"/>
      <c r="K164" s="37"/>
      <c r="L164" s="37"/>
      <c r="M164" s="37"/>
      <c r="N164" s="37"/>
      <c r="O164" s="37"/>
      <c r="P164" s="37"/>
      <c r="Q164" s="37"/>
      <c r="R164" s="121"/>
      <c r="S164" s="122"/>
      <c r="T164" s="124"/>
    </row>
    <row r="165" spans="2:23" ht="18.75" customHeight="1">
      <c r="F165" s="39"/>
      <c r="G165" s="40"/>
    </row>
    <row r="166" spans="2:23" ht="18.75" customHeight="1">
      <c r="C166" s="119" t="s">
        <v>3740</v>
      </c>
      <c r="D166" s="120"/>
      <c r="E166" s="123" t="str">
        <f>エンティティ一覧!$O$2</f>
        <v>milscm_2023_009</v>
      </c>
      <c r="G166" s="41"/>
    </row>
    <row r="167" spans="2:23" ht="18.75" customHeight="1">
      <c r="C167" s="121"/>
      <c r="D167" s="122"/>
      <c r="E167" s="124"/>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3757</v>
      </c>
      <c r="D171" s="92"/>
      <c r="W171" s="35" t="str">
        <f>"-- "&amp;B171&amp;" : "&amp;C171</f>
        <v>-- SQL_ID : 31_A6-25</v>
      </c>
    </row>
    <row r="172" spans="2:23" ht="18.75" customHeight="1">
      <c r="B172" s="43" t="s">
        <v>158</v>
      </c>
      <c r="C172" s="127" t="str">
        <f>R175&amp;"登録"</f>
        <v>ベース_MML_処方箋モジュール_投薬登録</v>
      </c>
      <c r="D172" s="128"/>
      <c r="E172" s="128"/>
      <c r="F172" s="128"/>
      <c r="G172" s="128"/>
      <c r="H172" s="128"/>
      <c r="I172" s="128"/>
      <c r="J172" s="128"/>
      <c r="K172" s="128"/>
      <c r="L172" s="128"/>
      <c r="M172" s="128"/>
      <c r="N172" s="128"/>
      <c r="O172" s="128"/>
      <c r="P172" s="128"/>
      <c r="Q172" s="128"/>
      <c r="R172" s="128"/>
      <c r="S172" s="128"/>
      <c r="T172" s="128"/>
      <c r="U172" s="129"/>
      <c r="W172" s="35" t="str">
        <f>"-- "&amp;C172</f>
        <v>-- ベース_MML_処方箋モジュール_投薬登録</v>
      </c>
    </row>
    <row r="173" spans="2:23" ht="18.75" customHeight="1">
      <c r="B173" s="43" t="s">
        <v>159</v>
      </c>
      <c r="C173" s="130" t="str">
        <f>C175&amp;"テーブルから対象患者で絞り込んだ結果を"&amp;R175&amp;"テーブルに格納する。"</f>
        <v>バックアップ_MML_処方箋モジュール_投薬テーブルから対象患者で絞り込んだ結果をベース_MML_処方箋モジュール_投薬テーブルに格納する。</v>
      </c>
      <c r="D173" s="131"/>
      <c r="E173" s="131"/>
      <c r="F173" s="131"/>
      <c r="G173" s="131"/>
      <c r="H173" s="131"/>
      <c r="I173" s="131"/>
      <c r="J173" s="131"/>
      <c r="K173" s="131"/>
      <c r="L173" s="131"/>
      <c r="M173" s="131"/>
      <c r="N173" s="131"/>
      <c r="O173" s="131"/>
      <c r="P173" s="131"/>
      <c r="Q173" s="131"/>
      <c r="R173" s="131"/>
      <c r="S173" s="131"/>
      <c r="T173" s="131"/>
      <c r="U173" s="132"/>
      <c r="W173" s="35" t="str">
        <f>"-- "&amp;C173</f>
        <v>-- バックアップ_MML_処方箋モジュール_投薬テーブルから対象患者で絞り込んだ結果をベース_MML_処方箋モジュール_投薬テーブルに格納する。</v>
      </c>
    </row>
    <row r="175" spans="2:23" ht="18.75" customHeight="1">
      <c r="C175" s="119" t="s">
        <v>3758</v>
      </c>
      <c r="D175" s="120"/>
      <c r="E175" s="123" t="str">
        <f>エンティティ一覧!$O$2</f>
        <v>milscm_2023_009</v>
      </c>
      <c r="H175" s="36"/>
      <c r="I175" s="36"/>
      <c r="J175" s="36"/>
      <c r="K175" s="36"/>
      <c r="L175" s="36"/>
      <c r="M175" s="36"/>
      <c r="N175" s="36"/>
      <c r="O175" s="36"/>
      <c r="P175" s="36"/>
      <c r="Q175" s="36"/>
      <c r="R175" s="119" t="str">
        <f>"ベース"&amp;SUBSTITUTE(C175,"バックアップ","")</f>
        <v>ベース_MML_処方箋モジュール_投薬</v>
      </c>
      <c r="S175" s="120"/>
      <c r="T175" s="123" t="str">
        <f>エンティティ一覧!$O$2</f>
        <v>milscm_2023_009</v>
      </c>
    </row>
    <row r="176" spans="2:23" ht="18.75" customHeight="1">
      <c r="C176" s="121"/>
      <c r="D176" s="122"/>
      <c r="E176" s="124"/>
      <c r="F176" s="37"/>
      <c r="G176" s="38"/>
      <c r="H176" s="37"/>
      <c r="I176" s="37"/>
      <c r="J176" s="37"/>
      <c r="K176" s="37"/>
      <c r="L176" s="37"/>
      <c r="M176" s="37"/>
      <c r="N176" s="37"/>
      <c r="O176" s="37"/>
      <c r="P176" s="37"/>
      <c r="Q176" s="37"/>
      <c r="R176" s="121"/>
      <c r="S176" s="122"/>
      <c r="T176" s="124"/>
    </row>
    <row r="177" spans="2:23" ht="18.75" customHeight="1">
      <c r="F177" s="39"/>
      <c r="G177" s="40"/>
    </row>
    <row r="178" spans="2:23" ht="18.75" customHeight="1">
      <c r="C178" s="119" t="s">
        <v>3740</v>
      </c>
      <c r="D178" s="120"/>
      <c r="E178" s="123" t="str">
        <f>エンティティ一覧!$O$2</f>
        <v>milscm_2023_009</v>
      </c>
      <c r="G178" s="41"/>
    </row>
    <row r="179" spans="2:23" ht="18.75" customHeight="1">
      <c r="C179" s="121"/>
      <c r="D179" s="122"/>
      <c r="E179" s="124"/>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3759</v>
      </c>
      <c r="D183" s="92"/>
      <c r="W183" s="35" t="str">
        <f>"-- "&amp;B183&amp;" : "&amp;C183</f>
        <v>-- SQL_ID : 31_A6-26</v>
      </c>
    </row>
    <row r="184" spans="2:23" ht="18.75" customHeight="1">
      <c r="B184" s="43" t="s">
        <v>158</v>
      </c>
      <c r="C184" s="127" t="str">
        <f>R187&amp;"登録"</f>
        <v>ベース_MML_処方箋モジュール_薬剤登録</v>
      </c>
      <c r="D184" s="128"/>
      <c r="E184" s="128"/>
      <c r="F184" s="128"/>
      <c r="G184" s="128"/>
      <c r="H184" s="128"/>
      <c r="I184" s="128"/>
      <c r="J184" s="128"/>
      <c r="K184" s="128"/>
      <c r="L184" s="128"/>
      <c r="M184" s="128"/>
      <c r="N184" s="128"/>
      <c r="O184" s="128"/>
      <c r="P184" s="128"/>
      <c r="Q184" s="128"/>
      <c r="R184" s="128"/>
      <c r="S184" s="128"/>
      <c r="T184" s="128"/>
      <c r="U184" s="129"/>
      <c r="W184" s="35" t="str">
        <f>"-- "&amp;C184</f>
        <v>-- ベース_MML_処方箋モジュール_薬剤登録</v>
      </c>
    </row>
    <row r="185" spans="2:23" ht="18.75" customHeight="1">
      <c r="B185" s="43" t="s">
        <v>159</v>
      </c>
      <c r="C185" s="130" t="str">
        <f>C187&amp;"テーブルから対象患者で絞り込んだ結果を"&amp;R187&amp;"テーブルに格納する。"</f>
        <v>バックアップ_MML_処方箋モジュール_薬剤テーブルから対象患者で絞り込んだ結果をベース_MML_処方箋モジュール_薬剤テーブルに格納する。</v>
      </c>
      <c r="D185" s="131"/>
      <c r="E185" s="131"/>
      <c r="F185" s="131"/>
      <c r="G185" s="131"/>
      <c r="H185" s="131"/>
      <c r="I185" s="131"/>
      <c r="J185" s="131"/>
      <c r="K185" s="131"/>
      <c r="L185" s="131"/>
      <c r="M185" s="131"/>
      <c r="N185" s="131"/>
      <c r="O185" s="131"/>
      <c r="P185" s="131"/>
      <c r="Q185" s="131"/>
      <c r="R185" s="131"/>
      <c r="S185" s="131"/>
      <c r="T185" s="131"/>
      <c r="U185" s="132"/>
      <c r="W185" s="35" t="str">
        <f>"-- "&amp;C185</f>
        <v>-- バックアップ_MML_処方箋モジュール_薬剤テーブルから対象患者で絞り込んだ結果をベース_MML_処方箋モジュール_薬剤テーブルに格納する。</v>
      </c>
    </row>
    <row r="187" spans="2:23" ht="18.75" customHeight="1">
      <c r="C187" s="119" t="s">
        <v>3760</v>
      </c>
      <c r="D187" s="120"/>
      <c r="E187" s="123" t="str">
        <f>エンティティ一覧!$O$2</f>
        <v>milscm_2023_009</v>
      </c>
      <c r="H187" s="36"/>
      <c r="I187" s="36"/>
      <c r="J187" s="36"/>
      <c r="K187" s="36"/>
      <c r="L187" s="36"/>
      <c r="M187" s="36"/>
      <c r="N187" s="36"/>
      <c r="O187" s="36"/>
      <c r="P187" s="36"/>
      <c r="Q187" s="36"/>
      <c r="R187" s="119" t="str">
        <f>"ベース"&amp;SUBSTITUTE(C187,"バックアップ","")</f>
        <v>ベース_MML_処方箋モジュール_薬剤</v>
      </c>
      <c r="S187" s="120"/>
      <c r="T187" s="123" t="str">
        <f>エンティティ一覧!$O$2</f>
        <v>milscm_2023_009</v>
      </c>
    </row>
    <row r="188" spans="2:23" ht="18.75" customHeight="1">
      <c r="C188" s="121"/>
      <c r="D188" s="122"/>
      <c r="E188" s="124"/>
      <c r="F188" s="37"/>
      <c r="G188" s="38"/>
      <c r="H188" s="37"/>
      <c r="I188" s="37"/>
      <c r="J188" s="37"/>
      <c r="K188" s="37"/>
      <c r="L188" s="37"/>
      <c r="M188" s="37"/>
      <c r="N188" s="37"/>
      <c r="O188" s="37"/>
      <c r="P188" s="37"/>
      <c r="Q188" s="37"/>
      <c r="R188" s="121"/>
      <c r="S188" s="122"/>
      <c r="T188" s="124"/>
    </row>
    <row r="189" spans="2:23" ht="18.75" customHeight="1">
      <c r="F189" s="39"/>
      <c r="G189" s="40"/>
    </row>
    <row r="190" spans="2:23" ht="18.75" customHeight="1">
      <c r="C190" s="119" t="s">
        <v>3740</v>
      </c>
      <c r="D190" s="120"/>
      <c r="E190" s="123" t="str">
        <f>エンティティ一覧!$O$2</f>
        <v>milscm_2023_009</v>
      </c>
      <c r="G190" s="41"/>
    </row>
    <row r="191" spans="2:23" ht="18.75" customHeight="1">
      <c r="C191" s="121"/>
      <c r="D191" s="122"/>
      <c r="E191" s="124"/>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3735</v>
      </c>
      <c r="D195" s="52"/>
      <c r="W195" s="35" t="str">
        <f>"-- "&amp;B195&amp;" : "&amp;C195</f>
        <v>-- SQL_ID : 31_C1-02</v>
      </c>
    </row>
    <row r="196" spans="2:23" ht="18.75" customHeight="1">
      <c r="B196" s="43" t="s">
        <v>158</v>
      </c>
      <c r="C196" s="127" t="str">
        <f>R199&amp;"登録"</f>
        <v>ベース_DPC調査データ_入院EF統合ファイル登録</v>
      </c>
      <c r="D196" s="128"/>
      <c r="E196" s="128"/>
      <c r="F196" s="128"/>
      <c r="G196" s="128"/>
      <c r="H196" s="128"/>
      <c r="I196" s="128"/>
      <c r="J196" s="128"/>
      <c r="K196" s="128"/>
      <c r="L196" s="128"/>
      <c r="M196" s="128"/>
      <c r="N196" s="128"/>
      <c r="O196" s="128"/>
      <c r="P196" s="128"/>
      <c r="Q196" s="128"/>
      <c r="R196" s="128"/>
      <c r="S196" s="128"/>
      <c r="T196" s="128"/>
      <c r="U196" s="129"/>
      <c r="W196" s="35" t="str">
        <f>"-- "&amp;C196</f>
        <v>-- ベース_DPC調査データ_入院EF統合ファイル登録</v>
      </c>
    </row>
    <row r="197" spans="2:23" ht="18.75" customHeight="1">
      <c r="B197" s="43" t="s">
        <v>159</v>
      </c>
      <c r="C197" s="130" t="str">
        <f>C199&amp;"テーブルから対象患者で絞り込んだ結果を"&amp;R199&amp;"テーブルに格納する。"</f>
        <v>バックアップ_DPC調査データ_入院EF統合ファイルテーブルから対象患者で絞り込んだ結果をベース_DPC調査データ_入院EF統合ファイルテーブルに格納する。</v>
      </c>
      <c r="D197" s="131"/>
      <c r="E197" s="131"/>
      <c r="F197" s="131"/>
      <c r="G197" s="131"/>
      <c r="H197" s="131"/>
      <c r="I197" s="131"/>
      <c r="J197" s="131"/>
      <c r="K197" s="131"/>
      <c r="L197" s="131"/>
      <c r="M197" s="131"/>
      <c r="N197" s="131"/>
      <c r="O197" s="131"/>
      <c r="P197" s="131"/>
      <c r="Q197" s="131"/>
      <c r="R197" s="131"/>
      <c r="S197" s="131"/>
      <c r="T197" s="131"/>
      <c r="U197" s="132"/>
      <c r="W197" s="35" t="str">
        <f>"-- "&amp;C197</f>
        <v>-- バックアップ_DPC調査データ_入院EF統合ファイルテーブルから対象患者で絞り込んだ結果をベース_DPC調査データ_入院EF統合ファイルテーブルに格納する。</v>
      </c>
    </row>
    <row r="199" spans="2:23" ht="18.75" customHeight="1">
      <c r="C199" s="119" t="s">
        <v>182</v>
      </c>
      <c r="D199" s="120"/>
      <c r="E199" s="123" t="str">
        <f>エンティティ一覧!$O$2</f>
        <v>milscm_2023_009</v>
      </c>
      <c r="H199" s="36"/>
      <c r="I199" s="36"/>
      <c r="J199" s="36"/>
      <c r="K199" s="36"/>
      <c r="L199" s="36"/>
      <c r="M199" s="36"/>
      <c r="N199" s="36"/>
      <c r="O199" s="36"/>
      <c r="P199" s="36"/>
      <c r="Q199" s="36"/>
      <c r="R199" s="119" t="str">
        <f>"ベース"&amp;SUBSTITUTE(C199,"バックアップ","")</f>
        <v>ベース_DPC調査データ_入院EF統合ファイル</v>
      </c>
      <c r="S199" s="120"/>
      <c r="T199" s="123" t="str">
        <f>エンティティ一覧!$O$2</f>
        <v>milscm_2023_009</v>
      </c>
    </row>
    <row r="200" spans="2:23" ht="18.75" customHeight="1">
      <c r="C200" s="121"/>
      <c r="D200" s="122"/>
      <c r="E200" s="124"/>
      <c r="F200" s="37"/>
      <c r="G200" s="38"/>
      <c r="H200" s="37"/>
      <c r="I200" s="37"/>
      <c r="J200" s="37"/>
      <c r="K200" s="37"/>
      <c r="L200" s="37"/>
      <c r="M200" s="37"/>
      <c r="N200" s="37"/>
      <c r="O200" s="37"/>
      <c r="P200" s="37"/>
      <c r="Q200" s="37"/>
      <c r="R200" s="121"/>
      <c r="S200" s="122"/>
      <c r="T200" s="124"/>
    </row>
    <row r="201" spans="2:23" ht="18.75" customHeight="1">
      <c r="F201" s="39"/>
      <c r="G201" s="40"/>
    </row>
    <row r="202" spans="2:23" ht="18.75" customHeight="1">
      <c r="C202" s="119" t="s">
        <v>3740</v>
      </c>
      <c r="D202" s="120"/>
      <c r="E202" s="123" t="str">
        <f>エンティティ一覧!$O$2</f>
        <v>milscm_2023_009</v>
      </c>
      <c r="G202" s="41"/>
    </row>
    <row r="203" spans="2:23" ht="18.75" customHeight="1">
      <c r="C203" s="121"/>
      <c r="D203" s="122"/>
      <c r="E203" s="124"/>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3736</v>
      </c>
      <c r="D207" s="52"/>
      <c r="W207" s="35" t="str">
        <f>"-- "&amp;B207&amp;" : "&amp;C207</f>
        <v>-- SQL_ID : 31_C1-03</v>
      </c>
    </row>
    <row r="208" spans="2:23" ht="18.75" customHeight="1">
      <c r="B208" s="43" t="s">
        <v>158</v>
      </c>
      <c r="C208" s="127" t="str">
        <f>R211&amp;"登録"</f>
        <v>ベース_DPC調査データ_外来EF統合ファイル登録</v>
      </c>
      <c r="D208" s="128"/>
      <c r="E208" s="128"/>
      <c r="F208" s="128"/>
      <c r="G208" s="128"/>
      <c r="H208" s="128"/>
      <c r="I208" s="128"/>
      <c r="J208" s="128"/>
      <c r="K208" s="128"/>
      <c r="L208" s="128"/>
      <c r="M208" s="128"/>
      <c r="N208" s="128"/>
      <c r="O208" s="128"/>
      <c r="P208" s="128"/>
      <c r="Q208" s="128"/>
      <c r="R208" s="128"/>
      <c r="S208" s="128"/>
      <c r="T208" s="128"/>
      <c r="U208" s="129"/>
      <c r="W208" s="35" t="str">
        <f>"-- "&amp;C208</f>
        <v>-- ベース_DPC調査データ_外来EF統合ファイル登録</v>
      </c>
    </row>
    <row r="209" spans="2:23" ht="18.75" customHeight="1">
      <c r="B209" s="43" t="s">
        <v>159</v>
      </c>
      <c r="C209" s="130" t="str">
        <f>C211&amp;"テーブルから対象患者で絞り込んだ結果を"&amp;R211&amp;"テーブルに格納する。"</f>
        <v>バックアップ_DPC調査データ_外来EF統合ファイルテーブルから対象患者で絞り込んだ結果をベース_DPC調査データ_外来EF統合ファイルテーブルに格納する。</v>
      </c>
      <c r="D209" s="131"/>
      <c r="E209" s="131"/>
      <c r="F209" s="131"/>
      <c r="G209" s="131"/>
      <c r="H209" s="131"/>
      <c r="I209" s="131"/>
      <c r="J209" s="131"/>
      <c r="K209" s="131"/>
      <c r="L209" s="131"/>
      <c r="M209" s="131"/>
      <c r="N209" s="131"/>
      <c r="O209" s="131"/>
      <c r="P209" s="131"/>
      <c r="Q209" s="131"/>
      <c r="R209" s="131"/>
      <c r="S209" s="131"/>
      <c r="T209" s="131"/>
      <c r="U209" s="132"/>
      <c r="W209" s="35" t="str">
        <f>"-- "&amp;C209</f>
        <v>-- バックアップ_DPC調査データ_外来EF統合ファイルテーブルから対象患者で絞り込んだ結果をベース_DPC調査データ_外来EF統合ファイルテーブルに格納する。</v>
      </c>
    </row>
    <row r="211" spans="2:23" ht="18.75" customHeight="1">
      <c r="C211" s="119" t="s">
        <v>183</v>
      </c>
      <c r="D211" s="120"/>
      <c r="E211" s="123" t="str">
        <f>エンティティ一覧!$O$2</f>
        <v>milscm_2023_009</v>
      </c>
      <c r="H211" s="36"/>
      <c r="I211" s="36"/>
      <c r="J211" s="36"/>
      <c r="K211" s="36"/>
      <c r="L211" s="36"/>
      <c r="M211" s="36"/>
      <c r="N211" s="36"/>
      <c r="O211" s="36"/>
      <c r="P211" s="36"/>
      <c r="Q211" s="36"/>
      <c r="R211" s="119" t="str">
        <f>"ベース"&amp;SUBSTITUTE(C211,"バックアップ","")</f>
        <v>ベース_DPC調査データ_外来EF統合ファイル</v>
      </c>
      <c r="S211" s="120"/>
      <c r="T211" s="123" t="str">
        <f>エンティティ一覧!$O$2</f>
        <v>milscm_2023_009</v>
      </c>
    </row>
    <row r="212" spans="2:23" ht="18.75" customHeight="1">
      <c r="C212" s="121"/>
      <c r="D212" s="122"/>
      <c r="E212" s="124"/>
      <c r="F212" s="37"/>
      <c r="G212" s="38"/>
      <c r="H212" s="37"/>
      <c r="I212" s="37"/>
      <c r="J212" s="37"/>
      <c r="K212" s="37"/>
      <c r="L212" s="37"/>
      <c r="M212" s="37"/>
      <c r="N212" s="37"/>
      <c r="O212" s="37"/>
      <c r="P212" s="37"/>
      <c r="Q212" s="37"/>
      <c r="R212" s="121"/>
      <c r="S212" s="122"/>
      <c r="T212" s="124"/>
    </row>
    <row r="213" spans="2:23" ht="18.75" customHeight="1">
      <c r="F213" s="39"/>
      <c r="G213" s="40"/>
    </row>
    <row r="214" spans="2:23" ht="18.75" customHeight="1">
      <c r="C214" s="119" t="s">
        <v>3740</v>
      </c>
      <c r="D214" s="120"/>
      <c r="E214" s="123" t="str">
        <f>エンティティ一覧!$O$2</f>
        <v>milscm_2023_009</v>
      </c>
      <c r="G214" s="41"/>
    </row>
    <row r="215" spans="2:23" ht="18.75" customHeight="1">
      <c r="C215" s="121"/>
      <c r="D215" s="122"/>
      <c r="E215" s="124"/>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3737</v>
      </c>
      <c r="D219" s="52"/>
      <c r="W219" s="35" t="str">
        <f>"-- "&amp;B219&amp;" : "&amp;C219</f>
        <v>-- SQL_ID : 31_C1-05</v>
      </c>
    </row>
    <row r="220" spans="2:23" ht="18.75" customHeight="1">
      <c r="B220" s="43" t="s">
        <v>158</v>
      </c>
      <c r="C220" s="127" t="str">
        <f>R223&amp;"登録"</f>
        <v>ベース_DPC調査データ_様式1登録</v>
      </c>
      <c r="D220" s="128"/>
      <c r="E220" s="128"/>
      <c r="F220" s="128"/>
      <c r="G220" s="128"/>
      <c r="H220" s="128"/>
      <c r="I220" s="128"/>
      <c r="J220" s="128"/>
      <c r="K220" s="128"/>
      <c r="L220" s="128"/>
      <c r="M220" s="128"/>
      <c r="N220" s="128"/>
      <c r="O220" s="128"/>
      <c r="P220" s="128"/>
      <c r="Q220" s="128"/>
      <c r="R220" s="128"/>
      <c r="S220" s="128"/>
      <c r="T220" s="128"/>
      <c r="U220" s="129"/>
      <c r="W220" s="35" t="str">
        <f>"-- "&amp;C220</f>
        <v>-- ベース_DPC調査データ_様式1登録</v>
      </c>
    </row>
    <row r="221" spans="2:23" ht="18.75" customHeight="1">
      <c r="B221" s="43" t="s">
        <v>159</v>
      </c>
      <c r="C221" s="130" t="str">
        <f>C223&amp;"テーブルから対象患者で絞り込んだ結果を"&amp;R223&amp;"テーブルに格納する。"</f>
        <v>バックアップ_DPC調査データ_様式1テーブルから対象患者で絞り込んだ結果をベース_DPC調査データ_様式1テーブルに格納する。</v>
      </c>
      <c r="D221" s="131"/>
      <c r="E221" s="131"/>
      <c r="F221" s="131"/>
      <c r="G221" s="131"/>
      <c r="H221" s="131"/>
      <c r="I221" s="131"/>
      <c r="J221" s="131"/>
      <c r="K221" s="131"/>
      <c r="L221" s="131"/>
      <c r="M221" s="131"/>
      <c r="N221" s="131"/>
      <c r="O221" s="131"/>
      <c r="P221" s="131"/>
      <c r="Q221" s="131"/>
      <c r="R221" s="131"/>
      <c r="S221" s="131"/>
      <c r="T221" s="131"/>
      <c r="U221" s="132"/>
      <c r="W221" s="35" t="str">
        <f>"-- "&amp;C221</f>
        <v>-- バックアップ_DPC調査データ_様式1テーブルから対象患者で絞り込んだ結果をベース_DPC調査データ_様式1テーブルに格納する。</v>
      </c>
    </row>
    <row r="223" spans="2:23" ht="18.75" customHeight="1">
      <c r="C223" s="119" t="s">
        <v>184</v>
      </c>
      <c r="D223" s="120"/>
      <c r="E223" s="123" t="str">
        <f>エンティティ一覧!$O$2</f>
        <v>milscm_2023_009</v>
      </c>
      <c r="H223" s="36"/>
      <c r="I223" s="36"/>
      <c r="J223" s="36"/>
      <c r="K223" s="36"/>
      <c r="L223" s="36"/>
      <c r="M223" s="36"/>
      <c r="N223" s="36"/>
      <c r="O223" s="36"/>
      <c r="P223" s="36"/>
      <c r="Q223" s="36"/>
      <c r="R223" s="119" t="str">
        <f>"ベース"&amp;SUBSTITUTE(C223,"バックアップ","")</f>
        <v>ベース_DPC調査データ_様式1</v>
      </c>
      <c r="S223" s="120"/>
      <c r="T223" s="123" t="str">
        <f>エンティティ一覧!$O$2</f>
        <v>milscm_2023_009</v>
      </c>
    </row>
    <row r="224" spans="2:23" ht="18.75" customHeight="1">
      <c r="C224" s="121"/>
      <c r="D224" s="122"/>
      <c r="E224" s="124"/>
      <c r="F224" s="37"/>
      <c r="G224" s="38"/>
      <c r="H224" s="37"/>
      <c r="I224" s="37"/>
      <c r="J224" s="37"/>
      <c r="K224" s="37"/>
      <c r="L224" s="37"/>
      <c r="M224" s="37"/>
      <c r="N224" s="37"/>
      <c r="O224" s="37"/>
      <c r="P224" s="37"/>
      <c r="Q224" s="37"/>
      <c r="R224" s="121"/>
      <c r="S224" s="122"/>
      <c r="T224" s="124"/>
    </row>
    <row r="225" spans="2:23" ht="18.75" customHeight="1">
      <c r="F225" s="39"/>
      <c r="G225" s="40"/>
    </row>
    <row r="226" spans="2:23" ht="18.75" customHeight="1">
      <c r="C226" s="119" t="s">
        <v>3740</v>
      </c>
      <c r="D226" s="120"/>
      <c r="E226" s="123" t="str">
        <f>エンティティ一覧!$O$2</f>
        <v>milscm_2023_009</v>
      </c>
      <c r="G226" s="41"/>
    </row>
    <row r="227" spans="2:23" ht="18.75" customHeight="1">
      <c r="C227" s="121"/>
      <c r="D227" s="122"/>
      <c r="E227" s="124"/>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3738</v>
      </c>
      <c r="D231" s="52"/>
      <c r="W231" s="35" t="str">
        <f>"-- "&amp;B231&amp;" : "&amp;C231</f>
        <v>-- SQL_ID : 31_C1-07</v>
      </c>
    </row>
    <row r="232" spans="2:23" ht="18.75" customHeight="1">
      <c r="B232" s="43" t="s">
        <v>158</v>
      </c>
      <c r="C232" s="127" t="str">
        <f>R235&amp;"登録"</f>
        <v>ベース_DPC調査データ_様式1_診断情報_併存症登録</v>
      </c>
      <c r="D232" s="128"/>
      <c r="E232" s="128"/>
      <c r="F232" s="128"/>
      <c r="G232" s="128"/>
      <c r="H232" s="128"/>
      <c r="I232" s="128"/>
      <c r="J232" s="128"/>
      <c r="K232" s="128"/>
      <c r="L232" s="128"/>
      <c r="M232" s="128"/>
      <c r="N232" s="128"/>
      <c r="O232" s="128"/>
      <c r="P232" s="128"/>
      <c r="Q232" s="128"/>
      <c r="R232" s="128"/>
      <c r="S232" s="128"/>
      <c r="T232" s="128"/>
      <c r="U232" s="129"/>
      <c r="W232" s="35" t="str">
        <f>"-- "&amp;C232</f>
        <v>-- ベース_DPC調査データ_様式1_診断情報_併存症登録</v>
      </c>
    </row>
    <row r="233" spans="2:23" ht="18.75" customHeight="1">
      <c r="B233" s="43" t="s">
        <v>159</v>
      </c>
      <c r="C233" s="130" t="str">
        <f>C235&amp;"テーブルから対象患者で絞り込んだ結果を"&amp;R235&amp;"テーブルに格納する。"</f>
        <v>バックアップ_DPC調査データ_様式1_診断情報_併存症テーブルから対象患者で絞り込んだ結果をベース_DPC調査データ_様式1_診断情報_併存症テーブルに格納する。</v>
      </c>
      <c r="D233" s="131"/>
      <c r="E233" s="131"/>
      <c r="F233" s="131"/>
      <c r="G233" s="131"/>
      <c r="H233" s="131"/>
      <c r="I233" s="131"/>
      <c r="J233" s="131"/>
      <c r="K233" s="131"/>
      <c r="L233" s="131"/>
      <c r="M233" s="131"/>
      <c r="N233" s="131"/>
      <c r="O233" s="131"/>
      <c r="P233" s="131"/>
      <c r="Q233" s="131"/>
      <c r="R233" s="131"/>
      <c r="S233" s="131"/>
      <c r="T233" s="131"/>
      <c r="U233" s="132"/>
      <c r="W233" s="35" t="str">
        <f>"-- "&amp;C233</f>
        <v>-- バックアップ_DPC調査データ_様式1_診断情報_併存症テーブルから対象患者で絞り込んだ結果をベース_DPC調査データ_様式1_診断情報_併存症テーブルに格納する。</v>
      </c>
    </row>
    <row r="235" spans="2:23" ht="18.75" customHeight="1">
      <c r="C235" s="119" t="s">
        <v>185</v>
      </c>
      <c r="D235" s="120"/>
      <c r="E235" s="123" t="str">
        <f>エンティティ一覧!$O$2</f>
        <v>milscm_2023_009</v>
      </c>
      <c r="H235" s="36"/>
      <c r="I235" s="36"/>
      <c r="J235" s="36"/>
      <c r="K235" s="36"/>
      <c r="L235" s="36"/>
      <c r="M235" s="36"/>
      <c r="N235" s="36"/>
      <c r="O235" s="36"/>
      <c r="P235" s="36"/>
      <c r="Q235" s="36"/>
      <c r="R235" s="119" t="str">
        <f>"ベース"&amp;SUBSTITUTE(C235,"バックアップ","")</f>
        <v>ベース_DPC調査データ_様式1_診断情報_併存症</v>
      </c>
      <c r="S235" s="120"/>
      <c r="T235" s="123" t="str">
        <f>エンティティ一覧!$O$2</f>
        <v>milscm_2023_009</v>
      </c>
    </row>
    <row r="236" spans="2:23" ht="18.75" customHeight="1">
      <c r="C236" s="121"/>
      <c r="D236" s="122"/>
      <c r="E236" s="124"/>
      <c r="F236" s="37"/>
      <c r="G236" s="38"/>
      <c r="H236" s="37"/>
      <c r="I236" s="37"/>
      <c r="J236" s="37"/>
      <c r="K236" s="37"/>
      <c r="L236" s="37"/>
      <c r="M236" s="37"/>
      <c r="N236" s="37"/>
      <c r="O236" s="37"/>
      <c r="P236" s="37"/>
      <c r="Q236" s="37"/>
      <c r="R236" s="121"/>
      <c r="S236" s="122"/>
      <c r="T236" s="124"/>
    </row>
    <row r="237" spans="2:23" ht="18.75" customHeight="1">
      <c r="F237" s="39"/>
      <c r="G237" s="40"/>
    </row>
    <row r="238" spans="2:23" ht="18.75" customHeight="1">
      <c r="C238" s="119" t="s">
        <v>3740</v>
      </c>
      <c r="D238" s="120"/>
      <c r="E238" s="123" t="str">
        <f>エンティティ一覧!$O$2</f>
        <v>milscm_2023_009</v>
      </c>
      <c r="G238" s="41"/>
    </row>
    <row r="239" spans="2:23" ht="18.75" customHeight="1">
      <c r="C239" s="121"/>
      <c r="D239" s="122"/>
      <c r="E239" s="124"/>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3739</v>
      </c>
      <c r="D243" s="52"/>
      <c r="W243" s="35" t="str">
        <f>"-- "&amp;B243&amp;" : "&amp;C243</f>
        <v>-- SQL_ID : 31_C1-08</v>
      </c>
    </row>
    <row r="244" spans="2:23" ht="18.75" customHeight="1">
      <c r="B244" s="43" t="s">
        <v>158</v>
      </c>
      <c r="C244" s="127" t="str">
        <f>R247&amp;"登録"</f>
        <v>ベース_DPC調査データ_様式1_診断情報_続発症登録</v>
      </c>
      <c r="D244" s="128"/>
      <c r="E244" s="128"/>
      <c r="F244" s="128"/>
      <c r="G244" s="128"/>
      <c r="H244" s="128"/>
      <c r="I244" s="128"/>
      <c r="J244" s="128"/>
      <c r="K244" s="128"/>
      <c r="L244" s="128"/>
      <c r="M244" s="128"/>
      <c r="N244" s="128"/>
      <c r="O244" s="128"/>
      <c r="P244" s="128"/>
      <c r="Q244" s="128"/>
      <c r="R244" s="128"/>
      <c r="S244" s="128"/>
      <c r="T244" s="128"/>
      <c r="U244" s="129"/>
      <c r="W244" s="35" t="str">
        <f>"-- "&amp;C244</f>
        <v>-- ベース_DPC調査データ_様式1_診断情報_続発症登録</v>
      </c>
    </row>
    <row r="245" spans="2:23" ht="18.75" customHeight="1">
      <c r="B245" s="43" t="s">
        <v>159</v>
      </c>
      <c r="C245" s="130" t="str">
        <f>C247&amp;"テーブルから対象患者で絞り込んだ結果を"&amp;R247&amp;"テーブルに格納する。"</f>
        <v>バックアップ_DPC調査データ_様式1_診断情報_続発症テーブルから対象患者で絞り込んだ結果をベース_DPC調査データ_様式1_診断情報_続発症テーブルに格納する。</v>
      </c>
      <c r="D245" s="131"/>
      <c r="E245" s="131"/>
      <c r="F245" s="131"/>
      <c r="G245" s="131"/>
      <c r="H245" s="131"/>
      <c r="I245" s="131"/>
      <c r="J245" s="131"/>
      <c r="K245" s="131"/>
      <c r="L245" s="131"/>
      <c r="M245" s="131"/>
      <c r="N245" s="131"/>
      <c r="O245" s="131"/>
      <c r="P245" s="131"/>
      <c r="Q245" s="131"/>
      <c r="R245" s="131"/>
      <c r="S245" s="131"/>
      <c r="T245" s="131"/>
      <c r="U245" s="132"/>
      <c r="W245" s="35" t="str">
        <f>"-- "&amp;C245</f>
        <v>-- バックアップ_DPC調査データ_様式1_診断情報_続発症テーブルから対象患者で絞り込んだ結果をベース_DPC調査データ_様式1_診断情報_続発症テーブルに格納する。</v>
      </c>
    </row>
    <row r="247" spans="2:23" ht="18.75" customHeight="1">
      <c r="C247" s="119" t="s">
        <v>186</v>
      </c>
      <c r="D247" s="120"/>
      <c r="E247" s="123" t="str">
        <f>エンティティ一覧!$O$2</f>
        <v>milscm_2023_009</v>
      </c>
      <c r="H247" s="36"/>
      <c r="I247" s="36"/>
      <c r="J247" s="36"/>
      <c r="K247" s="36"/>
      <c r="L247" s="36"/>
      <c r="M247" s="36"/>
      <c r="N247" s="36"/>
      <c r="O247" s="36"/>
      <c r="P247" s="36"/>
      <c r="Q247" s="36"/>
      <c r="R247" s="119" t="str">
        <f>"ベース"&amp;SUBSTITUTE(C247,"バックアップ","")</f>
        <v>ベース_DPC調査データ_様式1_診断情報_続発症</v>
      </c>
      <c r="S247" s="120"/>
      <c r="T247" s="123" t="str">
        <f>エンティティ一覧!$O$2</f>
        <v>milscm_2023_009</v>
      </c>
    </row>
    <row r="248" spans="2:23" ht="18.75" customHeight="1">
      <c r="C248" s="121"/>
      <c r="D248" s="122"/>
      <c r="E248" s="124"/>
      <c r="F248" s="37"/>
      <c r="G248" s="38"/>
      <c r="H248" s="37"/>
      <c r="I248" s="37"/>
      <c r="J248" s="37"/>
      <c r="K248" s="37"/>
      <c r="L248" s="37"/>
      <c r="M248" s="37"/>
      <c r="N248" s="37"/>
      <c r="O248" s="37"/>
      <c r="P248" s="37"/>
      <c r="Q248" s="37"/>
      <c r="R248" s="121"/>
      <c r="S248" s="122"/>
      <c r="T248" s="124"/>
    </row>
    <row r="249" spans="2:23" ht="18.75" customHeight="1">
      <c r="F249" s="39"/>
      <c r="G249" s="40"/>
    </row>
    <row r="250" spans="2:23" ht="18.75" customHeight="1">
      <c r="C250" s="119" t="s">
        <v>3740</v>
      </c>
      <c r="D250" s="120"/>
      <c r="E250" s="123" t="str">
        <f>エンティティ一覧!$O$2</f>
        <v>milscm_2023_009</v>
      </c>
      <c r="G250" s="41"/>
    </row>
    <row r="251" spans="2:23" ht="18.75" customHeight="1">
      <c r="C251" s="121"/>
      <c r="D251" s="122"/>
      <c r="E251" s="124"/>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3762</v>
      </c>
      <c r="D255" s="92"/>
      <c r="W255" s="35" t="str">
        <f>"-- "&amp;B255&amp;" : "&amp;C255</f>
        <v>-- SQL_ID : 31_C4-03</v>
      </c>
    </row>
    <row r="256" spans="2:23" ht="18.75" customHeight="1">
      <c r="B256" s="43" t="s">
        <v>158</v>
      </c>
      <c r="C256" s="127" t="str">
        <f>R259&amp;"登録"</f>
        <v>ベース_診断履歴情報モジュール_診断履歴情報レコード登録</v>
      </c>
      <c r="D256" s="128"/>
      <c r="E256" s="128"/>
      <c r="F256" s="128"/>
      <c r="G256" s="128"/>
      <c r="H256" s="128"/>
      <c r="I256" s="128"/>
      <c r="J256" s="128"/>
      <c r="K256" s="128"/>
      <c r="L256" s="128"/>
      <c r="M256" s="128"/>
      <c r="N256" s="128"/>
      <c r="O256" s="128"/>
      <c r="P256" s="128"/>
      <c r="Q256" s="128"/>
      <c r="R256" s="128"/>
      <c r="S256" s="128"/>
      <c r="T256" s="128"/>
      <c r="U256" s="129"/>
      <c r="W256" s="35" t="str">
        <f>"-- "&amp;C256</f>
        <v>-- ベース_診断履歴情報モジュール_診断履歴情報レコード登録</v>
      </c>
    </row>
    <row r="257" spans="2:23" ht="18.75" customHeight="1">
      <c r="B257" s="43" t="s">
        <v>159</v>
      </c>
      <c r="C257" s="130" t="str">
        <f>C259&amp;"テーブルから対象患者で絞り込んだ結果を"&amp;R259&amp;"テーブルに格納する。"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57" s="131"/>
      <c r="E257" s="131"/>
      <c r="F257" s="131"/>
      <c r="G257" s="131"/>
      <c r="H257" s="131"/>
      <c r="I257" s="131"/>
      <c r="J257" s="131"/>
      <c r="K257" s="131"/>
      <c r="L257" s="131"/>
      <c r="M257" s="131"/>
      <c r="N257" s="131"/>
      <c r="O257" s="131"/>
      <c r="P257" s="131"/>
      <c r="Q257" s="131"/>
      <c r="R257" s="131"/>
      <c r="S257" s="131"/>
      <c r="T257" s="131"/>
      <c r="U257" s="132"/>
      <c r="W257" s="35" t="str">
        <f>"-- "&amp;C257</f>
        <v>-- バックアップ_診断履歴情報モジュール_診断履歴情報レコードテーブルから対象患者で絞り込んだ結果をベース_診断履歴情報モジュール_診断履歴情報レコードテーブルに格納する。</v>
      </c>
    </row>
    <row r="259" spans="2:23" ht="18.75" customHeight="1">
      <c r="C259" s="137" t="s">
        <v>3763</v>
      </c>
      <c r="D259" s="138"/>
      <c r="E259" s="123" t="str">
        <f>エンティティ一覧!$O$2</f>
        <v>milscm_2023_009</v>
      </c>
      <c r="H259" s="36"/>
      <c r="I259" s="36"/>
      <c r="J259" s="36"/>
      <c r="K259" s="36"/>
      <c r="L259" s="36"/>
      <c r="M259" s="36"/>
      <c r="N259" s="36"/>
      <c r="O259" s="36"/>
      <c r="P259" s="36"/>
      <c r="Q259" s="36"/>
      <c r="R259" s="137" t="str">
        <f>"ベース"&amp;SUBSTITUTE(C259,"バックアップ","")</f>
        <v>ベース_診断履歴情報モジュール_診断履歴情報レコード</v>
      </c>
      <c r="S259" s="138"/>
      <c r="T259" s="123" t="str">
        <f>エンティティ一覧!$O$2</f>
        <v>milscm_2023_009</v>
      </c>
    </row>
    <row r="260" spans="2:23" ht="18.75" customHeight="1">
      <c r="C260" s="139"/>
      <c r="D260" s="140"/>
      <c r="E260" s="124"/>
      <c r="F260" s="37"/>
      <c r="G260" s="38"/>
      <c r="H260" s="37"/>
      <c r="I260" s="37"/>
      <c r="J260" s="37"/>
      <c r="K260" s="37"/>
      <c r="L260" s="37"/>
      <c r="M260" s="37"/>
      <c r="N260" s="37"/>
      <c r="O260" s="37"/>
      <c r="P260" s="37"/>
      <c r="Q260" s="37"/>
      <c r="R260" s="139"/>
      <c r="S260" s="140"/>
      <c r="T260" s="124"/>
    </row>
    <row r="261" spans="2:23" ht="18.75" customHeight="1">
      <c r="F261" s="39"/>
      <c r="G261" s="40"/>
    </row>
    <row r="262" spans="2:23" ht="18.75" customHeight="1">
      <c r="C262" s="119" t="s">
        <v>3740</v>
      </c>
      <c r="D262" s="120"/>
      <c r="E262" s="123" t="str">
        <f>エンティティ一覧!$O$2</f>
        <v>milscm_2023_009</v>
      </c>
      <c r="G262" s="41"/>
    </row>
    <row r="263" spans="2:23" ht="18.75" customHeight="1">
      <c r="C263" s="121"/>
      <c r="D263" s="122"/>
      <c r="E263" s="124"/>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3761</v>
      </c>
      <c r="D267" s="92"/>
      <c r="W267" s="35" t="str">
        <f>"-- "&amp;B267&amp;" : "&amp;C267</f>
        <v>-- SQL_ID : 31_C4-04</v>
      </c>
    </row>
    <row r="268" spans="2:23" ht="18.75" customHeight="1">
      <c r="B268" s="43" t="s">
        <v>158</v>
      </c>
      <c r="C268" s="127" t="str">
        <f>R271&amp;"登録"</f>
        <v>ベース_診断履歴情報モジュール_診断病名レコード登録</v>
      </c>
      <c r="D268" s="128"/>
      <c r="E268" s="128"/>
      <c r="F268" s="128"/>
      <c r="G268" s="128"/>
      <c r="H268" s="128"/>
      <c r="I268" s="128"/>
      <c r="J268" s="128"/>
      <c r="K268" s="128"/>
      <c r="L268" s="128"/>
      <c r="M268" s="128"/>
      <c r="N268" s="128"/>
      <c r="O268" s="128"/>
      <c r="P268" s="128"/>
      <c r="Q268" s="128"/>
      <c r="R268" s="128"/>
      <c r="S268" s="128"/>
      <c r="T268" s="128"/>
      <c r="U268" s="129"/>
      <c r="W268" s="35" t="str">
        <f>"-- "&amp;C268</f>
        <v>-- ベース_診断履歴情報モジュール_診断病名レコード登録</v>
      </c>
    </row>
    <row r="269" spans="2:23" ht="18.75" customHeight="1">
      <c r="B269" s="43" t="s">
        <v>159</v>
      </c>
      <c r="C269" s="130" t="str">
        <f>C271&amp;"テーブルから対象患者で絞り込んだ結果を"&amp;R271&amp;"テーブルに格納する。"</f>
        <v>バックアップ_診断履歴情報モジュール_診断病名レコードテーブルから対象患者で絞り込んだ結果をベース_診断履歴情報モジュール_診断病名レコードテーブルに格納する。</v>
      </c>
      <c r="D269" s="131"/>
      <c r="E269" s="131"/>
      <c r="F269" s="131"/>
      <c r="G269" s="131"/>
      <c r="H269" s="131"/>
      <c r="I269" s="131"/>
      <c r="J269" s="131"/>
      <c r="K269" s="131"/>
      <c r="L269" s="131"/>
      <c r="M269" s="131"/>
      <c r="N269" s="131"/>
      <c r="O269" s="131"/>
      <c r="P269" s="131"/>
      <c r="Q269" s="131"/>
      <c r="R269" s="131"/>
      <c r="S269" s="131"/>
      <c r="T269" s="131"/>
      <c r="U269" s="132"/>
      <c r="W269" s="35" t="str">
        <f>"-- "&amp;C269</f>
        <v>-- バックアップ_診断履歴情報モジュール_診断病名レコードテーブルから対象患者で絞り込んだ結果をベース_診断履歴情報モジュール_診断病名レコードテーブルに格納する。</v>
      </c>
    </row>
    <row r="271" spans="2:23" ht="18.75" customHeight="1">
      <c r="C271" s="137" t="s">
        <v>3764</v>
      </c>
      <c r="D271" s="138"/>
      <c r="E271" s="123" t="str">
        <f>エンティティ一覧!$O$2</f>
        <v>milscm_2023_009</v>
      </c>
      <c r="H271" s="36"/>
      <c r="I271" s="36"/>
      <c r="J271" s="36"/>
      <c r="K271" s="36"/>
      <c r="L271" s="36"/>
      <c r="M271" s="36"/>
      <c r="N271" s="36"/>
      <c r="O271" s="36"/>
      <c r="P271" s="36"/>
      <c r="Q271" s="36"/>
      <c r="R271" s="137" t="str">
        <f>"ベース"&amp;SUBSTITUTE(C271,"バックアップ","")</f>
        <v>ベース_診断履歴情報モジュール_診断病名レコード</v>
      </c>
      <c r="S271" s="138"/>
      <c r="T271" s="123" t="str">
        <f>エンティティ一覧!$O$2</f>
        <v>milscm_2023_009</v>
      </c>
    </row>
    <row r="272" spans="2:23" ht="18.75" customHeight="1">
      <c r="C272" s="139"/>
      <c r="D272" s="140"/>
      <c r="E272" s="124"/>
      <c r="F272" s="37"/>
      <c r="G272" s="38"/>
      <c r="H272" s="37"/>
      <c r="I272" s="37"/>
      <c r="J272" s="37"/>
      <c r="K272" s="37"/>
      <c r="L272" s="37"/>
      <c r="M272" s="37"/>
      <c r="N272" s="37"/>
      <c r="O272" s="37"/>
      <c r="P272" s="37"/>
      <c r="Q272" s="37"/>
      <c r="R272" s="139"/>
      <c r="S272" s="140"/>
      <c r="T272" s="124"/>
    </row>
    <row r="273" spans="2:23" ht="18.75" customHeight="1">
      <c r="F273" s="39"/>
      <c r="G273" s="40"/>
    </row>
    <row r="274" spans="2:23" ht="18.75" customHeight="1">
      <c r="C274" s="119" t="s">
        <v>3740</v>
      </c>
      <c r="D274" s="120"/>
      <c r="E274" s="123" t="str">
        <f>エンティティ一覧!$O$2</f>
        <v>milscm_2023_009</v>
      </c>
      <c r="G274" s="41"/>
    </row>
    <row r="275" spans="2:23" ht="18.75" customHeight="1">
      <c r="C275" s="121"/>
      <c r="D275" s="122"/>
      <c r="E275" s="124"/>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3766</v>
      </c>
      <c r="D279" s="92"/>
      <c r="W279" s="35" t="str">
        <f>"-- "&amp;B279&amp;" : "&amp;C279</f>
        <v>-- SQL_ID : 31_C4-06</v>
      </c>
    </row>
    <row r="280" spans="2:23" ht="18.75" customHeight="1">
      <c r="B280" s="43" t="s">
        <v>158</v>
      </c>
      <c r="C280" s="127" t="str">
        <f>R283&amp;"登録"</f>
        <v>ベース_経過記録情報モジュール_経過記録情報レコード登録</v>
      </c>
      <c r="D280" s="128"/>
      <c r="E280" s="128"/>
      <c r="F280" s="128"/>
      <c r="G280" s="128"/>
      <c r="H280" s="128"/>
      <c r="I280" s="128"/>
      <c r="J280" s="128"/>
      <c r="K280" s="128"/>
      <c r="L280" s="128"/>
      <c r="M280" s="128"/>
      <c r="N280" s="128"/>
      <c r="O280" s="128"/>
      <c r="P280" s="128"/>
      <c r="Q280" s="128"/>
      <c r="R280" s="128"/>
      <c r="S280" s="128"/>
      <c r="T280" s="128"/>
      <c r="U280" s="129"/>
      <c r="W280" s="35" t="str">
        <f>"-- "&amp;C280</f>
        <v>-- ベース_経過記録情報モジュール_経過記録情報レコード登録</v>
      </c>
    </row>
    <row r="281" spans="2:23" ht="18.75" customHeight="1">
      <c r="B281" s="43" t="s">
        <v>159</v>
      </c>
      <c r="C281" s="130" t="str">
        <f>C283&amp;"テーブルから対象患者で絞り込んだ結果を"&amp;R283&amp;"テーブルに格納する。"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81" s="131"/>
      <c r="E281" s="131"/>
      <c r="F281" s="131"/>
      <c r="G281" s="131"/>
      <c r="H281" s="131"/>
      <c r="I281" s="131"/>
      <c r="J281" s="131"/>
      <c r="K281" s="131"/>
      <c r="L281" s="131"/>
      <c r="M281" s="131"/>
      <c r="N281" s="131"/>
      <c r="O281" s="131"/>
      <c r="P281" s="131"/>
      <c r="Q281" s="131"/>
      <c r="R281" s="131"/>
      <c r="S281" s="131"/>
      <c r="T281" s="131"/>
      <c r="U281" s="132"/>
      <c r="W281" s="35" t="str">
        <f>"-- "&amp;C281</f>
        <v>-- バックアップ_経過記録情報モジュール_経過記録情報レコードテーブルから対象患者で絞り込んだ結果をベース_経過記録情報モジュール_経過記録情報レコードテーブルに格納する。</v>
      </c>
    </row>
    <row r="283" spans="2:23" ht="18.75" customHeight="1">
      <c r="C283" s="137" t="s">
        <v>3765</v>
      </c>
      <c r="D283" s="138"/>
      <c r="E283" s="123" t="str">
        <f>エンティティ一覧!$O$2</f>
        <v>milscm_2023_009</v>
      </c>
      <c r="H283" s="36"/>
      <c r="I283" s="36"/>
      <c r="J283" s="36"/>
      <c r="K283" s="36"/>
      <c r="L283" s="36"/>
      <c r="M283" s="36"/>
      <c r="N283" s="36"/>
      <c r="O283" s="36"/>
      <c r="P283" s="36"/>
      <c r="Q283" s="36"/>
      <c r="R283" s="137" t="str">
        <f>"ベース"&amp;SUBSTITUTE(C283,"バックアップ","")</f>
        <v>ベース_経過記録情報モジュール_経過記録情報レコード</v>
      </c>
      <c r="S283" s="138"/>
      <c r="T283" s="123" t="str">
        <f>エンティティ一覧!$O$2</f>
        <v>milscm_2023_009</v>
      </c>
    </row>
    <row r="284" spans="2:23" ht="18.75" customHeight="1">
      <c r="C284" s="139"/>
      <c r="D284" s="140"/>
      <c r="E284" s="124"/>
      <c r="F284" s="37"/>
      <c r="G284" s="38"/>
      <c r="H284" s="37"/>
      <c r="I284" s="37"/>
      <c r="J284" s="37"/>
      <c r="K284" s="37"/>
      <c r="L284" s="37"/>
      <c r="M284" s="37"/>
      <c r="N284" s="37"/>
      <c r="O284" s="37"/>
      <c r="P284" s="37"/>
      <c r="Q284" s="37"/>
      <c r="R284" s="139"/>
      <c r="S284" s="140"/>
      <c r="T284" s="124"/>
    </row>
    <row r="285" spans="2:23" ht="18.75" customHeight="1">
      <c r="F285" s="39"/>
      <c r="G285" s="40"/>
    </row>
    <row r="286" spans="2:23" ht="18.75" customHeight="1">
      <c r="C286" s="119" t="s">
        <v>3740</v>
      </c>
      <c r="D286" s="120"/>
      <c r="E286" s="123" t="str">
        <f>エンティティ一覧!$O$2</f>
        <v>milscm_2023_009</v>
      </c>
      <c r="G286" s="41"/>
    </row>
    <row r="287" spans="2:23" ht="18.75" customHeight="1">
      <c r="C287" s="121"/>
      <c r="D287" s="122"/>
      <c r="E287" s="124"/>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3767</v>
      </c>
      <c r="D291" s="92"/>
      <c r="W291" s="35" t="str">
        <f>"-- "&amp;B291&amp;" : "&amp;C291</f>
        <v>-- SQL_ID : 31_C4-07</v>
      </c>
    </row>
    <row r="292" spans="2:23" ht="18.75" customHeight="1">
      <c r="B292" s="43" t="s">
        <v>158</v>
      </c>
      <c r="C292" s="127" t="str">
        <f>R295&amp;"登録"</f>
        <v>ベース_経過記録情報モジュール_プロブレムレコード登録</v>
      </c>
      <c r="D292" s="128"/>
      <c r="E292" s="128"/>
      <c r="F292" s="128"/>
      <c r="G292" s="128"/>
      <c r="H292" s="128"/>
      <c r="I292" s="128"/>
      <c r="J292" s="128"/>
      <c r="K292" s="128"/>
      <c r="L292" s="128"/>
      <c r="M292" s="128"/>
      <c r="N292" s="128"/>
      <c r="O292" s="128"/>
      <c r="P292" s="128"/>
      <c r="Q292" s="128"/>
      <c r="R292" s="128"/>
      <c r="S292" s="128"/>
      <c r="T292" s="128"/>
      <c r="U292" s="129"/>
      <c r="W292" s="35" t="str">
        <f>"-- "&amp;C292</f>
        <v>-- ベース_経過記録情報モジュール_プロブレムレコード登録</v>
      </c>
    </row>
    <row r="293" spans="2:23" ht="18.75" customHeight="1">
      <c r="B293" s="43" t="s">
        <v>159</v>
      </c>
      <c r="C293" s="130" t="str">
        <f>C295&amp;"テーブルから対象患者で絞り込んだ結果を"&amp;R295&amp;"テーブルに格納する。"</f>
        <v>バックアップ_経過記録情報モジュール_プロブレムレコードテーブルから対象患者で絞り込んだ結果をベース_経過記録情報モジュール_プロブレムレコードテーブルに格納する。</v>
      </c>
      <c r="D293" s="131"/>
      <c r="E293" s="131"/>
      <c r="F293" s="131"/>
      <c r="G293" s="131"/>
      <c r="H293" s="131"/>
      <c r="I293" s="131"/>
      <c r="J293" s="131"/>
      <c r="K293" s="131"/>
      <c r="L293" s="131"/>
      <c r="M293" s="131"/>
      <c r="N293" s="131"/>
      <c r="O293" s="131"/>
      <c r="P293" s="131"/>
      <c r="Q293" s="131"/>
      <c r="R293" s="131"/>
      <c r="S293" s="131"/>
      <c r="T293" s="131"/>
      <c r="U293" s="132"/>
      <c r="W293" s="35" t="str">
        <f>"-- "&amp;C293</f>
        <v>-- バックアップ_経過記録情報モジュール_プロブレムレコードテーブルから対象患者で絞り込んだ結果をベース_経過記録情報モジュール_プロブレムレコードテーブルに格納する。</v>
      </c>
    </row>
    <row r="295" spans="2:23" ht="18.75" customHeight="1">
      <c r="C295" s="137" t="s">
        <v>3768</v>
      </c>
      <c r="D295" s="138"/>
      <c r="E295" s="123" t="str">
        <f>エンティティ一覧!$O$2</f>
        <v>milscm_2023_009</v>
      </c>
      <c r="H295" s="36"/>
      <c r="I295" s="36"/>
      <c r="J295" s="36"/>
      <c r="K295" s="36"/>
      <c r="L295" s="36"/>
      <c r="M295" s="36"/>
      <c r="N295" s="36"/>
      <c r="O295" s="36"/>
      <c r="P295" s="36"/>
      <c r="Q295" s="36"/>
      <c r="R295" s="137" t="str">
        <f>"ベース"&amp;SUBSTITUTE(C295,"バックアップ","")</f>
        <v>ベース_経過記録情報モジュール_プロブレムレコード</v>
      </c>
      <c r="S295" s="138"/>
      <c r="T295" s="123" t="str">
        <f>エンティティ一覧!$O$2</f>
        <v>milscm_2023_009</v>
      </c>
    </row>
    <row r="296" spans="2:23" ht="18.75" customHeight="1">
      <c r="C296" s="139"/>
      <c r="D296" s="140"/>
      <c r="E296" s="124"/>
      <c r="F296" s="37"/>
      <c r="G296" s="38"/>
      <c r="H296" s="37"/>
      <c r="I296" s="37"/>
      <c r="J296" s="37"/>
      <c r="K296" s="37"/>
      <c r="L296" s="37"/>
      <c r="M296" s="37"/>
      <c r="N296" s="37"/>
      <c r="O296" s="37"/>
      <c r="P296" s="37"/>
      <c r="Q296" s="37"/>
      <c r="R296" s="139"/>
      <c r="S296" s="140"/>
      <c r="T296" s="124"/>
    </row>
    <row r="297" spans="2:23" ht="18.75" customHeight="1">
      <c r="F297" s="39"/>
      <c r="G297" s="40"/>
    </row>
    <row r="298" spans="2:23" ht="18.75" customHeight="1">
      <c r="C298" s="119" t="s">
        <v>3740</v>
      </c>
      <c r="D298" s="120"/>
      <c r="E298" s="123" t="str">
        <f>エンティティ一覧!$O$2</f>
        <v>milscm_2023_009</v>
      </c>
      <c r="G298" s="41"/>
    </row>
    <row r="299" spans="2:23" ht="18.75" customHeight="1">
      <c r="C299" s="121"/>
      <c r="D299" s="122"/>
      <c r="E299" s="124"/>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3769</v>
      </c>
      <c r="D303" s="92"/>
      <c r="W303" s="35" t="str">
        <f>"-- "&amp;B303&amp;" : "&amp;C303</f>
        <v>-- SQL_ID : 31_C4-08</v>
      </c>
    </row>
    <row r="304" spans="2:23" ht="18.75" customHeight="1">
      <c r="B304" s="43" t="s">
        <v>158</v>
      </c>
      <c r="C304" s="127" t="str">
        <f>R307&amp;"登録"</f>
        <v>ベース_経過記録情報モジュール_身体所見レコード登録</v>
      </c>
      <c r="D304" s="128"/>
      <c r="E304" s="128"/>
      <c r="F304" s="128"/>
      <c r="G304" s="128"/>
      <c r="H304" s="128"/>
      <c r="I304" s="128"/>
      <c r="J304" s="128"/>
      <c r="K304" s="128"/>
      <c r="L304" s="128"/>
      <c r="M304" s="128"/>
      <c r="N304" s="128"/>
      <c r="O304" s="128"/>
      <c r="P304" s="128"/>
      <c r="Q304" s="128"/>
      <c r="R304" s="128"/>
      <c r="S304" s="128"/>
      <c r="T304" s="128"/>
      <c r="U304" s="129"/>
      <c r="W304" s="35" t="str">
        <f>"-- "&amp;C304</f>
        <v>-- ベース_経過記録情報モジュール_身体所見レコード登録</v>
      </c>
    </row>
    <row r="305" spans="2:23" ht="18.75" customHeight="1">
      <c r="B305" s="43" t="s">
        <v>159</v>
      </c>
      <c r="C305" s="130" t="str">
        <f>C307&amp;"テーブルから対象患者で絞り込んだ結果を"&amp;R307&amp;"テーブルに格納する。"</f>
        <v>バックアップ_経過記録情報モジュール_身体所見レコードテーブルから対象患者で絞り込んだ結果をベース_経過記録情報モジュール_身体所見レコードテーブルに格納する。</v>
      </c>
      <c r="D305" s="131"/>
      <c r="E305" s="131"/>
      <c r="F305" s="131"/>
      <c r="G305" s="131"/>
      <c r="H305" s="131"/>
      <c r="I305" s="131"/>
      <c r="J305" s="131"/>
      <c r="K305" s="131"/>
      <c r="L305" s="131"/>
      <c r="M305" s="131"/>
      <c r="N305" s="131"/>
      <c r="O305" s="131"/>
      <c r="P305" s="131"/>
      <c r="Q305" s="131"/>
      <c r="R305" s="131"/>
      <c r="S305" s="131"/>
      <c r="T305" s="131"/>
      <c r="U305" s="132"/>
      <c r="W305" s="35" t="str">
        <f>"-- "&amp;C305</f>
        <v>-- バックアップ_経過記録情報モジュール_身体所見レコードテーブルから対象患者で絞り込んだ結果をベース_経過記録情報モジュール_身体所見レコードテーブルに格納する。</v>
      </c>
    </row>
    <row r="307" spans="2:23" ht="18.75" customHeight="1">
      <c r="C307" s="137" t="s">
        <v>3770</v>
      </c>
      <c r="D307" s="138"/>
      <c r="E307" s="123" t="str">
        <f>エンティティ一覧!$O$2</f>
        <v>milscm_2023_009</v>
      </c>
      <c r="H307" s="36"/>
      <c r="I307" s="36"/>
      <c r="J307" s="36"/>
      <c r="K307" s="36"/>
      <c r="L307" s="36"/>
      <c r="M307" s="36"/>
      <c r="N307" s="36"/>
      <c r="O307" s="36"/>
      <c r="P307" s="36"/>
      <c r="Q307" s="36"/>
      <c r="R307" s="137" t="str">
        <f>"ベース"&amp;SUBSTITUTE(C307,"バックアップ","")</f>
        <v>ベース_経過記録情報モジュール_身体所見レコード</v>
      </c>
      <c r="S307" s="138"/>
      <c r="T307" s="123" t="str">
        <f>エンティティ一覧!$O$2</f>
        <v>milscm_2023_009</v>
      </c>
    </row>
    <row r="308" spans="2:23" ht="18.75" customHeight="1">
      <c r="C308" s="139"/>
      <c r="D308" s="140"/>
      <c r="E308" s="124"/>
      <c r="F308" s="37"/>
      <c r="G308" s="38"/>
      <c r="H308" s="37"/>
      <c r="I308" s="37"/>
      <c r="J308" s="37"/>
      <c r="K308" s="37"/>
      <c r="L308" s="37"/>
      <c r="M308" s="37"/>
      <c r="N308" s="37"/>
      <c r="O308" s="37"/>
      <c r="P308" s="37"/>
      <c r="Q308" s="37"/>
      <c r="R308" s="139"/>
      <c r="S308" s="140"/>
      <c r="T308" s="124"/>
    </row>
    <row r="309" spans="2:23" ht="18.75" customHeight="1">
      <c r="F309" s="39"/>
      <c r="G309" s="40"/>
    </row>
    <row r="310" spans="2:23" ht="18.75" customHeight="1">
      <c r="C310" s="119" t="s">
        <v>3740</v>
      </c>
      <c r="D310" s="120"/>
      <c r="E310" s="123" t="str">
        <f>エンティティ一覧!$O$2</f>
        <v>milscm_2023_009</v>
      </c>
      <c r="G310" s="41"/>
    </row>
    <row r="311" spans="2:23" ht="18.75" customHeight="1">
      <c r="C311" s="121"/>
      <c r="D311" s="122"/>
      <c r="E311" s="124"/>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3771</v>
      </c>
      <c r="D315" s="92"/>
      <c r="W315" s="35" t="str">
        <f>"-- "&amp;B315&amp;" : "&amp;C315</f>
        <v>-- SQL_ID : 31_C4-15</v>
      </c>
    </row>
    <row r="316" spans="2:23" ht="18.75" customHeight="1">
      <c r="B316" s="43" t="s">
        <v>158</v>
      </c>
      <c r="C316" s="127" t="str">
        <f>R319&amp;"登録"</f>
        <v>ベース_経過記録情報モジュール_アセスメントレコード登録</v>
      </c>
      <c r="D316" s="128"/>
      <c r="E316" s="128"/>
      <c r="F316" s="128"/>
      <c r="G316" s="128"/>
      <c r="H316" s="128"/>
      <c r="I316" s="128"/>
      <c r="J316" s="128"/>
      <c r="K316" s="128"/>
      <c r="L316" s="128"/>
      <c r="M316" s="128"/>
      <c r="N316" s="128"/>
      <c r="O316" s="128"/>
      <c r="P316" s="128"/>
      <c r="Q316" s="128"/>
      <c r="R316" s="128"/>
      <c r="S316" s="128"/>
      <c r="T316" s="128"/>
      <c r="U316" s="129"/>
      <c r="W316" s="35" t="str">
        <f>"-- "&amp;C316</f>
        <v>-- ベース_経過記録情報モジュール_アセスメントレコード登録</v>
      </c>
    </row>
    <row r="317" spans="2:23" ht="18.75" customHeight="1">
      <c r="B317" s="43" t="s">
        <v>159</v>
      </c>
      <c r="C317" s="130" t="str">
        <f>C319&amp;"テーブルから対象患者で絞り込んだ結果を"&amp;R319&amp;"テーブルに格納する。"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17" s="131"/>
      <c r="E317" s="131"/>
      <c r="F317" s="131"/>
      <c r="G317" s="131"/>
      <c r="H317" s="131"/>
      <c r="I317" s="131"/>
      <c r="J317" s="131"/>
      <c r="K317" s="131"/>
      <c r="L317" s="131"/>
      <c r="M317" s="131"/>
      <c r="N317" s="131"/>
      <c r="O317" s="131"/>
      <c r="P317" s="131"/>
      <c r="Q317" s="131"/>
      <c r="R317" s="131"/>
      <c r="S317" s="131"/>
      <c r="T317" s="131"/>
      <c r="U317" s="132"/>
      <c r="W317" s="35" t="str">
        <f>"-- "&amp;C317</f>
        <v>-- バックアップ_経過記録情報モジュール_アセスメントレコードテーブルから対象患者で絞り込んだ結果をベース_経過記録情報モジュール_アセスメントレコードテーブルに格納する。</v>
      </c>
    </row>
    <row r="319" spans="2:23" ht="18.75" customHeight="1">
      <c r="C319" s="137" t="s">
        <v>3772</v>
      </c>
      <c r="D319" s="138"/>
      <c r="E319" s="123" t="str">
        <f>エンティティ一覧!$O$2</f>
        <v>milscm_2023_009</v>
      </c>
      <c r="H319" s="36"/>
      <c r="I319" s="36"/>
      <c r="J319" s="36"/>
      <c r="K319" s="36"/>
      <c r="L319" s="36"/>
      <c r="M319" s="36"/>
      <c r="N319" s="36"/>
      <c r="O319" s="36"/>
      <c r="P319" s="36"/>
      <c r="Q319" s="36"/>
      <c r="R319" s="137" t="str">
        <f>"ベース"&amp;SUBSTITUTE(C319,"バックアップ","")</f>
        <v>ベース_経過記録情報モジュール_アセスメントレコード</v>
      </c>
      <c r="S319" s="138"/>
      <c r="T319" s="123" t="str">
        <f>エンティティ一覧!$O$2</f>
        <v>milscm_2023_009</v>
      </c>
    </row>
    <row r="320" spans="2:23" ht="18.75" customHeight="1">
      <c r="C320" s="139"/>
      <c r="D320" s="140"/>
      <c r="E320" s="124"/>
      <c r="F320" s="37"/>
      <c r="G320" s="38"/>
      <c r="H320" s="37"/>
      <c r="I320" s="37"/>
      <c r="J320" s="37"/>
      <c r="K320" s="37"/>
      <c r="L320" s="37"/>
      <c r="M320" s="37"/>
      <c r="N320" s="37"/>
      <c r="O320" s="37"/>
      <c r="P320" s="37"/>
      <c r="Q320" s="37"/>
      <c r="R320" s="139"/>
      <c r="S320" s="140"/>
      <c r="T320" s="124"/>
    </row>
    <row r="321" spans="2:23" ht="18.75" customHeight="1">
      <c r="F321" s="39"/>
      <c r="G321" s="40"/>
    </row>
    <row r="322" spans="2:23" ht="18.75" customHeight="1">
      <c r="C322" s="119" t="s">
        <v>3740</v>
      </c>
      <c r="D322" s="120"/>
      <c r="E322" s="123" t="str">
        <f>エンティティ一覧!$O$2</f>
        <v>milscm_2023_009</v>
      </c>
      <c r="G322" s="41"/>
    </row>
    <row r="323" spans="2:23" ht="18.75" customHeight="1">
      <c r="C323" s="121"/>
      <c r="D323" s="122"/>
      <c r="E323" s="124"/>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3773</v>
      </c>
      <c r="D327" s="92"/>
      <c r="W327" s="35" t="str">
        <f>"-- "&amp;B327&amp;" : "&amp;C327</f>
        <v>-- SQL_ID : 31_C4-22</v>
      </c>
    </row>
    <row r="328" spans="2:23" ht="18.75" customHeight="1">
      <c r="B328" s="43" t="s">
        <v>158</v>
      </c>
      <c r="C328" s="127" t="str">
        <f>R331&amp;"登録"</f>
        <v>ベース_経過記録情報モジュール_外部参照レコード登録</v>
      </c>
      <c r="D328" s="128"/>
      <c r="E328" s="128"/>
      <c r="F328" s="128"/>
      <c r="G328" s="128"/>
      <c r="H328" s="128"/>
      <c r="I328" s="128"/>
      <c r="J328" s="128"/>
      <c r="K328" s="128"/>
      <c r="L328" s="128"/>
      <c r="M328" s="128"/>
      <c r="N328" s="128"/>
      <c r="O328" s="128"/>
      <c r="P328" s="128"/>
      <c r="Q328" s="128"/>
      <c r="R328" s="128"/>
      <c r="S328" s="128"/>
      <c r="T328" s="128"/>
      <c r="U328" s="129"/>
      <c r="W328" s="35" t="str">
        <f>"-- "&amp;C328</f>
        <v>-- ベース_経過記録情報モジュール_外部参照レコード登録</v>
      </c>
    </row>
    <row r="329" spans="2:23" ht="18.75" customHeight="1">
      <c r="B329" s="43" t="s">
        <v>159</v>
      </c>
      <c r="C329" s="130" t="str">
        <f>C331&amp;"テーブルから対象患者で絞り込んだ結果を"&amp;R331&amp;"テーブルに格納する。"</f>
        <v>バックアップ_経過記録情報モジュール_外部参照レコードテーブルから対象患者で絞り込んだ結果をベース_経過記録情報モジュール_外部参照レコードテーブルに格納する。</v>
      </c>
      <c r="D329" s="131"/>
      <c r="E329" s="131"/>
      <c r="F329" s="131"/>
      <c r="G329" s="131"/>
      <c r="H329" s="131"/>
      <c r="I329" s="131"/>
      <c r="J329" s="131"/>
      <c r="K329" s="131"/>
      <c r="L329" s="131"/>
      <c r="M329" s="131"/>
      <c r="N329" s="131"/>
      <c r="O329" s="131"/>
      <c r="P329" s="131"/>
      <c r="Q329" s="131"/>
      <c r="R329" s="131"/>
      <c r="S329" s="131"/>
      <c r="T329" s="131"/>
      <c r="U329" s="132"/>
      <c r="W329" s="35" t="str">
        <f>"-- "&amp;C329</f>
        <v>-- バックアップ_経過記録情報モジュール_外部参照レコードテーブルから対象患者で絞り込んだ結果をベース_経過記録情報モジュール_外部参照レコードテーブルに格納する。</v>
      </c>
    </row>
    <row r="331" spans="2:23" ht="18.75" customHeight="1">
      <c r="C331" s="137" t="s">
        <v>3774</v>
      </c>
      <c r="D331" s="138"/>
      <c r="E331" s="123" t="str">
        <f>エンティティ一覧!$O$2</f>
        <v>milscm_2023_009</v>
      </c>
      <c r="H331" s="36"/>
      <c r="I331" s="36"/>
      <c r="J331" s="36"/>
      <c r="K331" s="36"/>
      <c r="L331" s="36"/>
      <c r="M331" s="36"/>
      <c r="N331" s="36"/>
      <c r="O331" s="36"/>
      <c r="P331" s="36"/>
      <c r="Q331" s="36"/>
      <c r="R331" s="137" t="str">
        <f>"ベース"&amp;SUBSTITUTE(C331,"バックアップ","")</f>
        <v>ベース_経過記録情報モジュール_外部参照レコード</v>
      </c>
      <c r="S331" s="138"/>
      <c r="T331" s="123" t="str">
        <f>エンティティ一覧!$O$2</f>
        <v>milscm_2023_009</v>
      </c>
    </row>
    <row r="332" spans="2:23" ht="18.75" customHeight="1">
      <c r="C332" s="139"/>
      <c r="D332" s="140"/>
      <c r="E332" s="124"/>
      <c r="F332" s="37"/>
      <c r="G332" s="38"/>
      <c r="H332" s="37"/>
      <c r="I332" s="37"/>
      <c r="J332" s="37"/>
      <c r="K332" s="37"/>
      <c r="L332" s="37"/>
      <c r="M332" s="37"/>
      <c r="N332" s="37"/>
      <c r="O332" s="37"/>
      <c r="P332" s="37"/>
      <c r="Q332" s="37"/>
      <c r="R332" s="139"/>
      <c r="S332" s="140"/>
      <c r="T332" s="124"/>
    </row>
    <row r="333" spans="2:23" ht="18.75" customHeight="1">
      <c r="F333" s="39"/>
      <c r="G333" s="40"/>
    </row>
    <row r="334" spans="2:23" ht="18.75" customHeight="1">
      <c r="C334" s="119" t="s">
        <v>3740</v>
      </c>
      <c r="D334" s="120"/>
      <c r="E334" s="123" t="str">
        <f>エンティティ一覧!$O$2</f>
        <v>milscm_2023_009</v>
      </c>
      <c r="G334" s="41"/>
    </row>
    <row r="335" spans="2:23" ht="18.75" customHeight="1">
      <c r="C335" s="121"/>
      <c r="D335" s="122"/>
      <c r="E335" s="124"/>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3775</v>
      </c>
      <c r="D339" s="92"/>
      <c r="W339" s="35" t="str">
        <f>"-- "&amp;B339&amp;" : "&amp;C339</f>
        <v>-- SQL_ID : 31_C4-23</v>
      </c>
    </row>
    <row r="340" spans="2:23" ht="18.75" customHeight="1">
      <c r="B340" s="43" t="s">
        <v>158</v>
      </c>
      <c r="C340" s="127" t="str">
        <f>R343&amp;"登録"</f>
        <v>ベース_臨床サマリーモジュール_臨床サマリー情報レコード登録</v>
      </c>
      <c r="D340" s="128"/>
      <c r="E340" s="128"/>
      <c r="F340" s="128"/>
      <c r="G340" s="128"/>
      <c r="H340" s="128"/>
      <c r="I340" s="128"/>
      <c r="J340" s="128"/>
      <c r="K340" s="128"/>
      <c r="L340" s="128"/>
      <c r="M340" s="128"/>
      <c r="N340" s="128"/>
      <c r="O340" s="128"/>
      <c r="P340" s="128"/>
      <c r="Q340" s="128"/>
      <c r="R340" s="128"/>
      <c r="S340" s="128"/>
      <c r="T340" s="128"/>
      <c r="U340" s="129"/>
      <c r="W340" s="35" t="str">
        <f>"-- "&amp;C340</f>
        <v>-- ベース_臨床サマリーモジュール_臨床サマリー情報レコード登録</v>
      </c>
    </row>
    <row r="341" spans="2:23" ht="18.75" customHeight="1">
      <c r="B341" s="43" t="s">
        <v>159</v>
      </c>
      <c r="C341" s="130" t="str">
        <f>C343&amp;"テーブルから対象患者で絞り込んだ結果を"&amp;R343&amp;"テーブルに格納する。"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41" s="131"/>
      <c r="E341" s="131"/>
      <c r="F341" s="131"/>
      <c r="G341" s="131"/>
      <c r="H341" s="131"/>
      <c r="I341" s="131"/>
      <c r="J341" s="131"/>
      <c r="K341" s="131"/>
      <c r="L341" s="131"/>
      <c r="M341" s="131"/>
      <c r="N341" s="131"/>
      <c r="O341" s="131"/>
      <c r="P341" s="131"/>
      <c r="Q341" s="131"/>
      <c r="R341" s="131"/>
      <c r="S341" s="131"/>
      <c r="T341" s="131"/>
      <c r="U341" s="132"/>
      <c r="W341" s="35" t="str">
        <f>"-- "&amp;C341</f>
        <v>-- バックアップ_臨床サマリーモジュール_臨床サマリー情報レコードテーブルから対象患者で絞り込んだ結果をベース_臨床サマリーモジュール_臨床サマリー情報レコードテーブルに格納する。</v>
      </c>
    </row>
    <row r="343" spans="2:23" ht="18.75" customHeight="1">
      <c r="C343" s="141" t="s">
        <v>3776</v>
      </c>
      <c r="D343" s="142"/>
      <c r="E343" s="123" t="str">
        <f>エンティティ一覧!$O$2</f>
        <v>milscm_2023_009</v>
      </c>
      <c r="H343" s="36"/>
      <c r="I343" s="36"/>
      <c r="J343" s="36"/>
      <c r="K343" s="36"/>
      <c r="L343" s="36"/>
      <c r="M343" s="36"/>
      <c r="N343" s="36"/>
      <c r="O343" s="36"/>
      <c r="P343" s="36"/>
      <c r="Q343" s="36"/>
      <c r="R343" s="137" t="str">
        <f>"ベース"&amp;SUBSTITUTE(C343,"バックアップ","")</f>
        <v>ベース_臨床サマリーモジュール_臨床サマリー情報レコード</v>
      </c>
      <c r="S343" s="138"/>
      <c r="T343" s="123" t="str">
        <f>エンティティ一覧!$O$2</f>
        <v>milscm_2023_009</v>
      </c>
    </row>
    <row r="344" spans="2:23" ht="18.75" customHeight="1">
      <c r="C344" s="143"/>
      <c r="D344" s="144"/>
      <c r="E344" s="124"/>
      <c r="F344" s="37"/>
      <c r="G344" s="38"/>
      <c r="H344" s="37"/>
      <c r="I344" s="37"/>
      <c r="J344" s="37"/>
      <c r="K344" s="37"/>
      <c r="L344" s="37"/>
      <c r="M344" s="37"/>
      <c r="N344" s="37"/>
      <c r="O344" s="37"/>
      <c r="P344" s="37"/>
      <c r="Q344" s="37"/>
      <c r="R344" s="139"/>
      <c r="S344" s="140"/>
      <c r="T344" s="124"/>
    </row>
    <row r="345" spans="2:23" ht="18.75" customHeight="1">
      <c r="F345" s="39"/>
      <c r="G345" s="40"/>
    </row>
    <row r="346" spans="2:23" ht="18.75" customHeight="1">
      <c r="C346" s="119" t="s">
        <v>3740</v>
      </c>
      <c r="D346" s="120"/>
      <c r="E346" s="123" t="str">
        <f>エンティティ一覧!$O$2</f>
        <v>milscm_2023_009</v>
      </c>
      <c r="G346" s="41"/>
    </row>
    <row r="347" spans="2:23" ht="18.75" customHeight="1">
      <c r="C347" s="121"/>
      <c r="D347" s="122"/>
      <c r="E347" s="124"/>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3777</v>
      </c>
      <c r="D351" s="93"/>
      <c r="W351" s="35" t="str">
        <f>"-- "&amp;B351&amp;" : "&amp;C351</f>
        <v>-- SQL_ID : 31_C4-24</v>
      </c>
    </row>
    <row r="352" spans="2:23" ht="18.75" customHeight="1">
      <c r="B352" s="43" t="s">
        <v>158</v>
      </c>
      <c r="C352" s="127" t="str">
        <f>R355&amp;"登録"</f>
        <v>ベース_臨床サマリーモジュール_外来受診レコード登録</v>
      </c>
      <c r="D352" s="128"/>
      <c r="E352" s="128"/>
      <c r="F352" s="128"/>
      <c r="G352" s="128"/>
      <c r="H352" s="128"/>
      <c r="I352" s="128"/>
      <c r="J352" s="128"/>
      <c r="K352" s="128"/>
      <c r="L352" s="128"/>
      <c r="M352" s="128"/>
      <c r="N352" s="128"/>
      <c r="O352" s="128"/>
      <c r="P352" s="128"/>
      <c r="Q352" s="128"/>
      <c r="R352" s="128"/>
      <c r="S352" s="128"/>
      <c r="T352" s="128"/>
      <c r="U352" s="129"/>
      <c r="W352" s="35" t="str">
        <f>"-- "&amp;C352</f>
        <v>-- ベース_臨床サマリーモジュール_外来受診レコード登録</v>
      </c>
    </row>
    <row r="353" spans="2:23" ht="18.75" customHeight="1">
      <c r="B353" s="43" t="s">
        <v>159</v>
      </c>
      <c r="C353" s="130" t="str">
        <f>C355&amp;"テーブルから対象患者で絞り込んだ結果を"&amp;R355&amp;"テーブルに格納する。"</f>
        <v>バックアップ_臨床サマリーモジュール_外来受診レコードテーブルから対象患者で絞り込んだ結果をベース_臨床サマリーモジュール_外来受診レコードテーブルに格納する。</v>
      </c>
      <c r="D353" s="131"/>
      <c r="E353" s="131"/>
      <c r="F353" s="131"/>
      <c r="G353" s="131"/>
      <c r="H353" s="131"/>
      <c r="I353" s="131"/>
      <c r="J353" s="131"/>
      <c r="K353" s="131"/>
      <c r="L353" s="131"/>
      <c r="M353" s="131"/>
      <c r="N353" s="131"/>
      <c r="O353" s="131"/>
      <c r="P353" s="131"/>
      <c r="Q353" s="131"/>
      <c r="R353" s="131"/>
      <c r="S353" s="131"/>
      <c r="T353" s="131"/>
      <c r="U353" s="132"/>
      <c r="W353" s="35" t="str">
        <f>"-- "&amp;C353</f>
        <v>-- バックアップ_臨床サマリーモジュール_外来受診レコードテーブルから対象患者で絞り込んだ結果をベース_臨床サマリーモジュール_外来受診レコードテーブルに格納する。</v>
      </c>
    </row>
    <row r="355" spans="2:23" ht="18.75" customHeight="1">
      <c r="C355" s="141" t="s">
        <v>1477</v>
      </c>
      <c r="D355" s="142"/>
      <c r="E355" s="123" t="str">
        <f>エンティティ一覧!$O$2</f>
        <v>milscm_2023_009</v>
      </c>
      <c r="H355" s="36"/>
      <c r="I355" s="36"/>
      <c r="J355" s="36"/>
      <c r="K355" s="36"/>
      <c r="L355" s="36"/>
      <c r="M355" s="36"/>
      <c r="N355" s="36"/>
      <c r="O355" s="36"/>
      <c r="P355" s="36"/>
      <c r="Q355" s="36"/>
      <c r="R355" s="137" t="str">
        <f>"ベース"&amp;SUBSTITUTE(C355,"バックアップ","")</f>
        <v>ベース_臨床サマリーモジュール_外来受診レコード</v>
      </c>
      <c r="S355" s="138"/>
      <c r="T355" s="123" t="str">
        <f>エンティティ一覧!$O$2</f>
        <v>milscm_2023_009</v>
      </c>
    </row>
    <row r="356" spans="2:23" ht="18.75" customHeight="1">
      <c r="C356" s="143"/>
      <c r="D356" s="144"/>
      <c r="E356" s="124"/>
      <c r="F356" s="37"/>
      <c r="G356" s="38"/>
      <c r="H356" s="37"/>
      <c r="I356" s="37"/>
      <c r="J356" s="37"/>
      <c r="K356" s="37"/>
      <c r="L356" s="37"/>
      <c r="M356" s="37"/>
      <c r="N356" s="37"/>
      <c r="O356" s="37"/>
      <c r="P356" s="37"/>
      <c r="Q356" s="37"/>
      <c r="R356" s="139"/>
      <c r="S356" s="140"/>
      <c r="T356" s="124"/>
    </row>
    <row r="357" spans="2:23" ht="18.75" customHeight="1">
      <c r="F357" s="39"/>
      <c r="G357" s="40"/>
    </row>
    <row r="358" spans="2:23" ht="18.75" customHeight="1">
      <c r="C358" s="119" t="s">
        <v>3740</v>
      </c>
      <c r="D358" s="120"/>
      <c r="E358" s="123" t="str">
        <f>エンティティ一覧!$O$2</f>
        <v>milscm_2023_009</v>
      </c>
      <c r="G358" s="41"/>
    </row>
    <row r="359" spans="2:23" ht="18.75" customHeight="1">
      <c r="C359" s="121"/>
      <c r="D359" s="122"/>
      <c r="E359" s="124"/>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3778</v>
      </c>
      <c r="D363" s="93"/>
      <c r="W363" s="35" t="str">
        <f>"-- "&amp;B363&amp;" : "&amp;C363</f>
        <v>-- SQL_ID : 31_C4-25</v>
      </c>
    </row>
    <row r="364" spans="2:23" ht="18.75" customHeight="1">
      <c r="B364" s="43" t="s">
        <v>158</v>
      </c>
      <c r="C364" s="127" t="str">
        <f>R367&amp;"登録"</f>
        <v>ベース_臨床サマリーモジュール_入院レコード登録</v>
      </c>
      <c r="D364" s="128"/>
      <c r="E364" s="128"/>
      <c r="F364" s="128"/>
      <c r="G364" s="128"/>
      <c r="H364" s="128"/>
      <c r="I364" s="128"/>
      <c r="J364" s="128"/>
      <c r="K364" s="128"/>
      <c r="L364" s="128"/>
      <c r="M364" s="128"/>
      <c r="N364" s="128"/>
      <c r="O364" s="128"/>
      <c r="P364" s="128"/>
      <c r="Q364" s="128"/>
      <c r="R364" s="128"/>
      <c r="S364" s="128"/>
      <c r="T364" s="128"/>
      <c r="U364" s="129"/>
      <c r="W364" s="35" t="str">
        <f>"-- "&amp;C364</f>
        <v>-- ベース_臨床サマリーモジュール_入院レコード登録</v>
      </c>
    </row>
    <row r="365" spans="2:23" ht="18.75" customHeight="1">
      <c r="B365" s="43" t="s">
        <v>159</v>
      </c>
      <c r="C365" s="130" t="str">
        <f>C367&amp;"テーブルから対象患者で絞り込んだ結果を"&amp;R367&amp;"テーブルに格納する。"</f>
        <v>バックアップ_臨床サマリーモジュール_入院レコードテーブルから対象患者で絞り込んだ結果をベース_臨床サマリーモジュール_入院レコードテーブルに格納する。</v>
      </c>
      <c r="D365" s="131"/>
      <c r="E365" s="131"/>
      <c r="F365" s="131"/>
      <c r="G365" s="131"/>
      <c r="H365" s="131"/>
      <c r="I365" s="131"/>
      <c r="J365" s="131"/>
      <c r="K365" s="131"/>
      <c r="L365" s="131"/>
      <c r="M365" s="131"/>
      <c r="N365" s="131"/>
      <c r="O365" s="131"/>
      <c r="P365" s="131"/>
      <c r="Q365" s="131"/>
      <c r="R365" s="131"/>
      <c r="S365" s="131"/>
      <c r="T365" s="131"/>
      <c r="U365" s="132"/>
      <c r="W365" s="35" t="str">
        <f>"-- "&amp;C365</f>
        <v>-- バックアップ_臨床サマリーモジュール_入院レコードテーブルから対象患者で絞り込んだ結果をベース_臨床サマリーモジュール_入院レコードテーブルに格納する。</v>
      </c>
    </row>
    <row r="367" spans="2:23" ht="18.75" customHeight="1">
      <c r="C367" s="141" t="s">
        <v>1494</v>
      </c>
      <c r="D367" s="142"/>
      <c r="E367" s="123" t="str">
        <f>エンティティ一覧!$O$2</f>
        <v>milscm_2023_009</v>
      </c>
      <c r="H367" s="36"/>
      <c r="I367" s="36"/>
      <c r="J367" s="36"/>
      <c r="K367" s="36"/>
      <c r="L367" s="36"/>
      <c r="M367" s="36"/>
      <c r="N367" s="36"/>
      <c r="O367" s="36"/>
      <c r="P367" s="36"/>
      <c r="Q367" s="36"/>
      <c r="R367" s="137" t="str">
        <f>"ベース"&amp;SUBSTITUTE(C367,"バックアップ","")</f>
        <v>ベース_臨床サマリーモジュール_入院レコード</v>
      </c>
      <c r="S367" s="138"/>
      <c r="T367" s="123" t="str">
        <f>エンティティ一覧!$O$2</f>
        <v>milscm_2023_009</v>
      </c>
    </row>
    <row r="368" spans="2:23" ht="18.75" customHeight="1">
      <c r="C368" s="143"/>
      <c r="D368" s="144"/>
      <c r="E368" s="124"/>
      <c r="F368" s="37"/>
      <c r="G368" s="38"/>
      <c r="H368" s="37"/>
      <c r="I368" s="37"/>
      <c r="J368" s="37"/>
      <c r="K368" s="37"/>
      <c r="L368" s="37"/>
      <c r="M368" s="37"/>
      <c r="N368" s="37"/>
      <c r="O368" s="37"/>
      <c r="P368" s="37"/>
      <c r="Q368" s="37"/>
      <c r="R368" s="139"/>
      <c r="S368" s="140"/>
      <c r="T368" s="124"/>
    </row>
    <row r="369" spans="2:23" ht="18.75" customHeight="1">
      <c r="F369" s="39"/>
      <c r="G369" s="40"/>
    </row>
    <row r="370" spans="2:23" ht="18.75" customHeight="1">
      <c r="C370" s="119" t="s">
        <v>3740</v>
      </c>
      <c r="D370" s="120"/>
      <c r="E370" s="123" t="str">
        <f>エンティティ一覧!$O$2</f>
        <v>milscm_2023_009</v>
      </c>
      <c r="G370" s="41"/>
    </row>
    <row r="371" spans="2:23" ht="18.75" customHeight="1">
      <c r="C371" s="121"/>
      <c r="D371" s="122"/>
      <c r="E371" s="124"/>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3779</v>
      </c>
      <c r="D375" s="93"/>
      <c r="W375" s="35" t="str">
        <f>"-- "&amp;B375&amp;" : "&amp;C375</f>
        <v>-- SQL_ID : 31_C4-29</v>
      </c>
    </row>
    <row r="376" spans="2:23" ht="18.75" customHeight="1">
      <c r="B376" s="43" t="s">
        <v>158</v>
      </c>
      <c r="C376" s="127" t="str">
        <f>R379&amp;"登録"</f>
        <v>ベース_臨床サマリーモジュール_経過記録レコード登録</v>
      </c>
      <c r="D376" s="128"/>
      <c r="E376" s="128"/>
      <c r="F376" s="128"/>
      <c r="G376" s="128"/>
      <c r="H376" s="128"/>
      <c r="I376" s="128"/>
      <c r="J376" s="128"/>
      <c r="K376" s="128"/>
      <c r="L376" s="128"/>
      <c r="M376" s="128"/>
      <c r="N376" s="128"/>
      <c r="O376" s="128"/>
      <c r="P376" s="128"/>
      <c r="Q376" s="128"/>
      <c r="R376" s="128"/>
      <c r="S376" s="128"/>
      <c r="T376" s="128"/>
      <c r="U376" s="129"/>
      <c r="W376" s="35" t="str">
        <f>"-- "&amp;C376</f>
        <v>-- ベース_臨床サマリーモジュール_経過記録レコード登録</v>
      </c>
    </row>
    <row r="377" spans="2:23" ht="18.75" customHeight="1">
      <c r="B377" s="43" t="s">
        <v>159</v>
      </c>
      <c r="C377" s="130" t="str">
        <f>C379&amp;"テーブルから対象患者で絞り込んだ結果を"&amp;R379&amp;"テーブルに格納する。"</f>
        <v>バックアップ_臨床サマリーモジュール_経過記録レコードテーブルから対象患者で絞り込んだ結果をベース_臨床サマリーモジュール_経過記録レコードテーブルに格納する。</v>
      </c>
      <c r="D377" s="131"/>
      <c r="E377" s="131"/>
      <c r="F377" s="131"/>
      <c r="G377" s="131"/>
      <c r="H377" s="131"/>
      <c r="I377" s="131"/>
      <c r="J377" s="131"/>
      <c r="K377" s="131"/>
      <c r="L377" s="131"/>
      <c r="M377" s="131"/>
      <c r="N377" s="131"/>
      <c r="O377" s="131"/>
      <c r="P377" s="131"/>
      <c r="Q377" s="131"/>
      <c r="R377" s="131"/>
      <c r="S377" s="131"/>
      <c r="T377" s="131"/>
      <c r="U377" s="132"/>
      <c r="W377" s="35" t="str">
        <f>"-- "&amp;C377</f>
        <v>-- バックアップ_臨床サマリーモジュール_経過記録レコードテーブルから対象患者で絞り込んだ結果をベース_臨床サマリーモジュール_経過記録レコードテーブルに格納する。</v>
      </c>
    </row>
    <row r="379" spans="2:23" ht="18.75" customHeight="1">
      <c r="C379" s="141" t="s">
        <v>1520</v>
      </c>
      <c r="D379" s="142"/>
      <c r="E379" s="123" t="str">
        <f>エンティティ一覧!$O$2</f>
        <v>milscm_2023_009</v>
      </c>
      <c r="H379" s="36"/>
      <c r="I379" s="36"/>
      <c r="J379" s="36"/>
      <c r="K379" s="36"/>
      <c r="L379" s="36"/>
      <c r="M379" s="36"/>
      <c r="N379" s="36"/>
      <c r="O379" s="36"/>
      <c r="P379" s="36"/>
      <c r="Q379" s="36"/>
      <c r="R379" s="137" t="str">
        <f>"ベース"&amp;SUBSTITUTE(C379,"バックアップ","")</f>
        <v>ベース_臨床サマリーモジュール_経過記録レコード</v>
      </c>
      <c r="S379" s="138"/>
      <c r="T379" s="123" t="str">
        <f>エンティティ一覧!$O$2</f>
        <v>milscm_2023_009</v>
      </c>
    </row>
    <row r="380" spans="2:23" ht="18.75" customHeight="1">
      <c r="C380" s="143"/>
      <c r="D380" s="144"/>
      <c r="E380" s="124"/>
      <c r="F380" s="37"/>
      <c r="G380" s="38"/>
      <c r="H380" s="37"/>
      <c r="I380" s="37"/>
      <c r="J380" s="37"/>
      <c r="K380" s="37"/>
      <c r="L380" s="37"/>
      <c r="M380" s="37"/>
      <c r="N380" s="37"/>
      <c r="O380" s="37"/>
      <c r="P380" s="37"/>
      <c r="Q380" s="37"/>
      <c r="R380" s="139"/>
      <c r="S380" s="140"/>
      <c r="T380" s="124"/>
    </row>
    <row r="381" spans="2:23" ht="18.75" customHeight="1">
      <c r="F381" s="39"/>
      <c r="G381" s="40"/>
    </row>
    <row r="382" spans="2:23" ht="18.75" customHeight="1">
      <c r="C382" s="119" t="s">
        <v>3740</v>
      </c>
      <c r="D382" s="120"/>
      <c r="E382" s="123" t="str">
        <f>エンティティ一覧!$O$2</f>
        <v>milscm_2023_009</v>
      </c>
      <c r="G382" s="41"/>
    </row>
    <row r="383" spans="2:23" ht="18.75" customHeight="1">
      <c r="C383" s="121"/>
      <c r="D383" s="122"/>
      <c r="E383" s="124"/>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3780</v>
      </c>
      <c r="D387" s="93"/>
      <c r="W387" s="35" t="str">
        <f>"-- "&amp;B387&amp;" : "&amp;C387</f>
        <v>-- SQL_ID : 31_C4-30</v>
      </c>
    </row>
    <row r="388" spans="2:23" ht="18.75" customHeight="1">
      <c r="B388" s="43" t="s">
        <v>158</v>
      </c>
      <c r="C388" s="127" t="str">
        <f>R391&amp;"登録"</f>
        <v>ベース_臨床サマリーモジュール_検査結果レコード登録</v>
      </c>
      <c r="D388" s="128"/>
      <c r="E388" s="128"/>
      <c r="F388" s="128"/>
      <c r="G388" s="128"/>
      <c r="H388" s="128"/>
      <c r="I388" s="128"/>
      <c r="J388" s="128"/>
      <c r="K388" s="128"/>
      <c r="L388" s="128"/>
      <c r="M388" s="128"/>
      <c r="N388" s="128"/>
      <c r="O388" s="128"/>
      <c r="P388" s="128"/>
      <c r="Q388" s="128"/>
      <c r="R388" s="128"/>
      <c r="S388" s="128"/>
      <c r="T388" s="128"/>
      <c r="U388" s="129"/>
      <c r="W388" s="35" t="str">
        <f>"-- "&amp;C388</f>
        <v>-- ベース_臨床サマリーモジュール_検査結果レコード登録</v>
      </c>
    </row>
    <row r="389" spans="2:23" ht="18.75" customHeight="1">
      <c r="B389" s="43" t="s">
        <v>159</v>
      </c>
      <c r="C389" s="130" t="str">
        <f>C391&amp;"テーブルから対象患者で絞り込んだ結果を"&amp;R391&amp;"テーブルに格納する。"</f>
        <v>バックアップ_臨床サマリーモジュール_検査結果レコードテーブルから対象患者で絞り込んだ結果をベース_臨床サマリーモジュール_検査結果レコードテーブルに格納する。</v>
      </c>
      <c r="D389" s="131"/>
      <c r="E389" s="131"/>
      <c r="F389" s="131"/>
      <c r="G389" s="131"/>
      <c r="H389" s="131"/>
      <c r="I389" s="131"/>
      <c r="J389" s="131"/>
      <c r="K389" s="131"/>
      <c r="L389" s="131"/>
      <c r="M389" s="131"/>
      <c r="N389" s="131"/>
      <c r="O389" s="131"/>
      <c r="P389" s="131"/>
      <c r="Q389" s="131"/>
      <c r="R389" s="131"/>
      <c r="S389" s="131"/>
      <c r="T389" s="131"/>
      <c r="U389" s="132"/>
      <c r="W389" s="35" t="str">
        <f>"-- "&amp;C389</f>
        <v>-- バックアップ_臨床サマリーモジュール_検査結果レコードテーブルから対象患者で絞り込んだ結果をベース_臨床サマリーモジュール_検査結果レコードテーブルに格納する。</v>
      </c>
    </row>
    <row r="391" spans="2:23" ht="18.75" customHeight="1">
      <c r="C391" s="141" t="s">
        <v>1535</v>
      </c>
      <c r="D391" s="142"/>
      <c r="E391" s="123" t="str">
        <f>エンティティ一覧!$O$2</f>
        <v>milscm_2023_009</v>
      </c>
      <c r="H391" s="36"/>
      <c r="I391" s="36"/>
      <c r="J391" s="36"/>
      <c r="K391" s="36"/>
      <c r="L391" s="36"/>
      <c r="M391" s="36"/>
      <c r="N391" s="36"/>
      <c r="O391" s="36"/>
      <c r="P391" s="36"/>
      <c r="Q391" s="36"/>
      <c r="R391" s="137" t="str">
        <f>"ベース"&amp;SUBSTITUTE(C391,"バックアップ","")</f>
        <v>ベース_臨床サマリーモジュール_検査結果レコード</v>
      </c>
      <c r="S391" s="138"/>
      <c r="T391" s="123" t="str">
        <f>エンティティ一覧!$O$2</f>
        <v>milscm_2023_009</v>
      </c>
    </row>
    <row r="392" spans="2:23" ht="18.75" customHeight="1">
      <c r="C392" s="143"/>
      <c r="D392" s="144"/>
      <c r="E392" s="124"/>
      <c r="F392" s="37"/>
      <c r="G392" s="38"/>
      <c r="H392" s="37"/>
      <c r="I392" s="37"/>
      <c r="J392" s="37"/>
      <c r="K392" s="37"/>
      <c r="L392" s="37"/>
      <c r="M392" s="37"/>
      <c r="N392" s="37"/>
      <c r="O392" s="37"/>
      <c r="P392" s="37"/>
      <c r="Q392" s="37"/>
      <c r="R392" s="139"/>
      <c r="S392" s="140"/>
      <c r="T392" s="124"/>
    </row>
    <row r="393" spans="2:23" ht="18.75" customHeight="1">
      <c r="F393" s="39"/>
      <c r="G393" s="40"/>
    </row>
    <row r="394" spans="2:23" ht="18.75" customHeight="1">
      <c r="C394" s="119" t="s">
        <v>3740</v>
      </c>
      <c r="D394" s="120"/>
      <c r="E394" s="123" t="str">
        <f>エンティティ一覧!$O$2</f>
        <v>milscm_2023_009</v>
      </c>
      <c r="G394" s="41"/>
    </row>
    <row r="395" spans="2:23" ht="18.75" customHeight="1">
      <c r="C395" s="121"/>
      <c r="D395" s="122"/>
      <c r="E395" s="124"/>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3781</v>
      </c>
      <c r="D399" s="93"/>
      <c r="W399" s="35" t="str">
        <f>"-- "&amp;B399&amp;" : "&amp;C399</f>
        <v>-- SQL_ID : 31_C4-31</v>
      </c>
    </row>
    <row r="400" spans="2:23" ht="18.75" customHeight="1">
      <c r="B400" s="43" t="s">
        <v>158</v>
      </c>
      <c r="C400" s="127" t="str">
        <f>R403&amp;"登録"</f>
        <v>ベース_検歴情報モジュール_検歴情報登録</v>
      </c>
      <c r="D400" s="128"/>
      <c r="E400" s="128"/>
      <c r="F400" s="128"/>
      <c r="G400" s="128"/>
      <c r="H400" s="128"/>
      <c r="I400" s="128"/>
      <c r="J400" s="128"/>
      <c r="K400" s="128"/>
      <c r="L400" s="128"/>
      <c r="M400" s="128"/>
      <c r="N400" s="128"/>
      <c r="O400" s="128"/>
      <c r="P400" s="128"/>
      <c r="Q400" s="128"/>
      <c r="R400" s="128"/>
      <c r="S400" s="128"/>
      <c r="T400" s="128"/>
      <c r="U400" s="129"/>
      <c r="W400" s="35" t="str">
        <f>"-- "&amp;C400</f>
        <v>-- ベース_検歴情報モジュール_検歴情報登録</v>
      </c>
    </row>
    <row r="401" spans="2:23" ht="18.75" customHeight="1">
      <c r="B401" s="43" t="s">
        <v>159</v>
      </c>
      <c r="C401" s="130" t="str">
        <f>C403&amp;"テーブルから対象患者で絞り込んだ結果を"&amp;R403&amp;"テーブルに格納する。"</f>
        <v>バックアップ_検歴情報モジュール_検歴情報テーブルから対象患者で絞り込んだ結果をベース_検歴情報モジュール_検歴情報テーブルに格納する。</v>
      </c>
      <c r="D401" s="131"/>
      <c r="E401" s="131"/>
      <c r="F401" s="131"/>
      <c r="G401" s="131"/>
      <c r="H401" s="131"/>
      <c r="I401" s="131"/>
      <c r="J401" s="131"/>
      <c r="K401" s="131"/>
      <c r="L401" s="131"/>
      <c r="M401" s="131"/>
      <c r="N401" s="131"/>
      <c r="O401" s="131"/>
      <c r="P401" s="131"/>
      <c r="Q401" s="131"/>
      <c r="R401" s="131"/>
      <c r="S401" s="131"/>
      <c r="T401" s="131"/>
      <c r="U401" s="132"/>
      <c r="W401" s="35" t="str">
        <f>"-- "&amp;C401</f>
        <v>-- バックアップ_検歴情報モジュール_検歴情報テーブルから対象患者で絞り込んだ結果をベース_検歴情報モジュール_検歴情報テーブルに格納する。</v>
      </c>
    </row>
    <row r="403" spans="2:23" ht="18.75" customHeight="1">
      <c r="C403" s="141" t="s">
        <v>1545</v>
      </c>
      <c r="D403" s="142"/>
      <c r="E403" s="123" t="str">
        <f>エンティティ一覧!$O$2</f>
        <v>milscm_2023_009</v>
      </c>
      <c r="H403" s="36"/>
      <c r="I403" s="36"/>
      <c r="J403" s="36"/>
      <c r="K403" s="36"/>
      <c r="L403" s="36"/>
      <c r="M403" s="36"/>
      <c r="N403" s="36"/>
      <c r="O403" s="36"/>
      <c r="P403" s="36"/>
      <c r="Q403" s="36"/>
      <c r="R403" s="137" t="str">
        <f>"ベース"&amp;SUBSTITUTE(C403,"バックアップ","")</f>
        <v>ベース_検歴情報モジュール_検歴情報</v>
      </c>
      <c r="S403" s="138"/>
      <c r="T403" s="123" t="str">
        <f>エンティティ一覧!$O$2</f>
        <v>milscm_2023_009</v>
      </c>
    </row>
    <row r="404" spans="2:23" ht="18.75" customHeight="1">
      <c r="C404" s="143"/>
      <c r="D404" s="144"/>
      <c r="E404" s="124"/>
      <c r="F404" s="37"/>
      <c r="G404" s="38"/>
      <c r="H404" s="37"/>
      <c r="I404" s="37"/>
      <c r="J404" s="37"/>
      <c r="K404" s="37"/>
      <c r="L404" s="37"/>
      <c r="M404" s="37"/>
      <c r="N404" s="37"/>
      <c r="O404" s="37"/>
      <c r="P404" s="37"/>
      <c r="Q404" s="37"/>
      <c r="R404" s="139"/>
      <c r="S404" s="140"/>
      <c r="T404" s="124"/>
    </row>
    <row r="405" spans="2:23" ht="18.75" customHeight="1">
      <c r="F405" s="39"/>
      <c r="G405" s="40"/>
    </row>
    <row r="406" spans="2:23" ht="18.75" customHeight="1">
      <c r="C406" s="119" t="s">
        <v>3740</v>
      </c>
      <c r="D406" s="120"/>
      <c r="E406" s="123" t="str">
        <f>エンティティ一覧!$O$2</f>
        <v>milscm_2023_009</v>
      </c>
      <c r="G406" s="41"/>
    </row>
    <row r="407" spans="2:23" ht="18.75" customHeight="1">
      <c r="C407" s="121"/>
      <c r="D407" s="122"/>
      <c r="E407" s="124"/>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3782</v>
      </c>
      <c r="D411" s="93"/>
      <c r="W411" s="35" t="str">
        <f>"-- "&amp;B411&amp;" : "&amp;C411</f>
        <v>-- SQL_ID : 31_C4-33</v>
      </c>
    </row>
    <row r="412" spans="2:23" ht="18.75" customHeight="1">
      <c r="B412" s="43" t="s">
        <v>158</v>
      </c>
      <c r="C412" s="127" t="str">
        <f>R415&amp;"登録"</f>
        <v>ベース_検歴情報モジュール_検歴検体材料登録</v>
      </c>
      <c r="D412" s="128"/>
      <c r="E412" s="128"/>
      <c r="F412" s="128"/>
      <c r="G412" s="128"/>
      <c r="H412" s="128"/>
      <c r="I412" s="128"/>
      <c r="J412" s="128"/>
      <c r="K412" s="128"/>
      <c r="L412" s="128"/>
      <c r="M412" s="128"/>
      <c r="N412" s="128"/>
      <c r="O412" s="128"/>
      <c r="P412" s="128"/>
      <c r="Q412" s="128"/>
      <c r="R412" s="128"/>
      <c r="S412" s="128"/>
      <c r="T412" s="128"/>
      <c r="U412" s="129"/>
      <c r="W412" s="35" t="str">
        <f>"-- "&amp;C412</f>
        <v>-- ベース_検歴情報モジュール_検歴検体材料登録</v>
      </c>
    </row>
    <row r="413" spans="2:23" ht="18.75" customHeight="1">
      <c r="B413" s="43" t="s">
        <v>159</v>
      </c>
      <c r="C413" s="130" t="str">
        <f>C415&amp;"テーブルから対象患者で絞り込んだ結果を"&amp;R415&amp;"テーブルに格納する。"</f>
        <v>バックアップ_検歴情報モジュール_検歴検体材料テーブルから対象患者で絞り込んだ結果をベース_検歴情報モジュール_検歴検体材料テーブルに格納する。</v>
      </c>
      <c r="D413" s="131"/>
      <c r="E413" s="131"/>
      <c r="F413" s="131"/>
      <c r="G413" s="131"/>
      <c r="H413" s="131"/>
      <c r="I413" s="131"/>
      <c r="J413" s="131"/>
      <c r="K413" s="131"/>
      <c r="L413" s="131"/>
      <c r="M413" s="131"/>
      <c r="N413" s="131"/>
      <c r="O413" s="131"/>
      <c r="P413" s="131"/>
      <c r="Q413" s="131"/>
      <c r="R413" s="131"/>
      <c r="S413" s="131"/>
      <c r="T413" s="131"/>
      <c r="U413" s="132"/>
      <c r="W413" s="35" t="str">
        <f>"-- "&amp;C413</f>
        <v>-- バックアップ_検歴情報モジュール_検歴検体材料テーブルから対象患者で絞り込んだ結果をベース_検歴情報モジュール_検歴検体材料テーブルに格納する。</v>
      </c>
    </row>
    <row r="415" spans="2:23" ht="18.75" customHeight="1">
      <c r="C415" s="141" t="s">
        <v>1603</v>
      </c>
      <c r="D415" s="142"/>
      <c r="E415" s="123" t="str">
        <f>エンティティ一覧!$O$2</f>
        <v>milscm_2023_009</v>
      </c>
      <c r="H415" s="36"/>
      <c r="I415" s="36"/>
      <c r="J415" s="36"/>
      <c r="K415" s="36"/>
      <c r="L415" s="36"/>
      <c r="M415" s="36"/>
      <c r="N415" s="36"/>
      <c r="O415" s="36"/>
      <c r="P415" s="36"/>
      <c r="Q415" s="36"/>
      <c r="R415" s="137" t="str">
        <f>"ベース"&amp;SUBSTITUTE(C415,"バックアップ","")</f>
        <v>ベース_検歴情報モジュール_検歴検体材料</v>
      </c>
      <c r="S415" s="138"/>
      <c r="T415" s="123" t="str">
        <f>エンティティ一覧!$O$2</f>
        <v>milscm_2023_009</v>
      </c>
    </row>
    <row r="416" spans="2:23" ht="18.75" customHeight="1">
      <c r="C416" s="143"/>
      <c r="D416" s="144"/>
      <c r="E416" s="124"/>
      <c r="F416" s="37"/>
      <c r="G416" s="38"/>
      <c r="H416" s="37"/>
      <c r="I416" s="37"/>
      <c r="J416" s="37"/>
      <c r="K416" s="37"/>
      <c r="L416" s="37"/>
      <c r="M416" s="37"/>
      <c r="N416" s="37"/>
      <c r="O416" s="37"/>
      <c r="P416" s="37"/>
      <c r="Q416" s="37"/>
      <c r="R416" s="139"/>
      <c r="S416" s="140"/>
      <c r="T416" s="124"/>
    </row>
    <row r="417" spans="2:23" ht="18.75" customHeight="1">
      <c r="F417" s="39"/>
      <c r="G417" s="40"/>
    </row>
    <row r="418" spans="2:23" ht="18.75" customHeight="1">
      <c r="C418" s="119" t="s">
        <v>3740</v>
      </c>
      <c r="D418" s="120"/>
      <c r="E418" s="123" t="str">
        <f>エンティティ一覧!$O$2</f>
        <v>milscm_2023_009</v>
      </c>
      <c r="G418" s="41"/>
    </row>
    <row r="419" spans="2:23" ht="18.75" customHeight="1">
      <c r="C419" s="121"/>
      <c r="D419" s="122"/>
      <c r="E419" s="124"/>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3783</v>
      </c>
      <c r="D423" s="93"/>
      <c r="W423" s="35" t="str">
        <f>"-- "&amp;B423&amp;" : "&amp;C423</f>
        <v>-- SQL_ID : 31_C4-35</v>
      </c>
    </row>
    <row r="424" spans="2:23" ht="18.75" customHeight="1">
      <c r="B424" s="43" t="s">
        <v>158</v>
      </c>
      <c r="C424" s="127" t="str">
        <f>R427&amp;"登録"</f>
        <v>ベース_検歴情報モジュール_検歴項目情報登録</v>
      </c>
      <c r="D424" s="128"/>
      <c r="E424" s="128"/>
      <c r="F424" s="128"/>
      <c r="G424" s="128"/>
      <c r="H424" s="128"/>
      <c r="I424" s="128"/>
      <c r="J424" s="128"/>
      <c r="K424" s="128"/>
      <c r="L424" s="128"/>
      <c r="M424" s="128"/>
      <c r="N424" s="128"/>
      <c r="O424" s="128"/>
      <c r="P424" s="128"/>
      <c r="Q424" s="128"/>
      <c r="R424" s="128"/>
      <c r="S424" s="128"/>
      <c r="T424" s="128"/>
      <c r="U424" s="129"/>
      <c r="W424" s="35" t="str">
        <f>"-- "&amp;C424</f>
        <v>-- ベース_検歴情報モジュール_検歴項目情報登録</v>
      </c>
    </row>
    <row r="425" spans="2:23" ht="18.75" customHeight="1">
      <c r="B425" s="43" t="s">
        <v>159</v>
      </c>
      <c r="C425" s="130" t="str">
        <f>C427&amp;"テーブルから対象患者で絞り込んだ結果を"&amp;R427&amp;"テーブルに格納する。"</f>
        <v>バックアップ_検歴情報モジュール_検歴項目情報テーブルから対象患者で絞り込んだ結果をベース_検歴情報モジュール_検歴項目情報テーブルに格納する。</v>
      </c>
      <c r="D425" s="131"/>
      <c r="E425" s="131"/>
      <c r="F425" s="131"/>
      <c r="G425" s="131"/>
      <c r="H425" s="131"/>
      <c r="I425" s="131"/>
      <c r="J425" s="131"/>
      <c r="K425" s="131"/>
      <c r="L425" s="131"/>
      <c r="M425" s="131"/>
      <c r="N425" s="131"/>
      <c r="O425" s="131"/>
      <c r="P425" s="131"/>
      <c r="Q425" s="131"/>
      <c r="R425" s="131"/>
      <c r="S425" s="131"/>
      <c r="T425" s="131"/>
      <c r="U425" s="132"/>
      <c r="W425" s="35" t="str">
        <f>"-- "&amp;C425</f>
        <v>-- バックアップ_検歴情報モジュール_検歴項目情報テーブルから対象患者で絞り込んだ結果をベース_検歴情報モジュール_検歴項目情報テーブルに格納する。</v>
      </c>
    </row>
    <row r="427" spans="2:23" ht="18.75" customHeight="1">
      <c r="C427" s="141" t="s">
        <v>1622</v>
      </c>
      <c r="D427" s="142"/>
      <c r="E427" s="123" t="str">
        <f>エンティティ一覧!$O$2</f>
        <v>milscm_2023_009</v>
      </c>
      <c r="H427" s="36"/>
      <c r="I427" s="36"/>
      <c r="J427" s="36"/>
      <c r="K427" s="36"/>
      <c r="L427" s="36"/>
      <c r="M427" s="36"/>
      <c r="N427" s="36"/>
      <c r="O427" s="36"/>
      <c r="P427" s="36"/>
      <c r="Q427" s="36"/>
      <c r="R427" s="137" t="str">
        <f>"ベース"&amp;SUBSTITUTE(C427,"バックアップ","")</f>
        <v>ベース_検歴情報モジュール_検歴項目情報</v>
      </c>
      <c r="S427" s="138"/>
      <c r="T427" s="123" t="str">
        <f>エンティティ一覧!$O$2</f>
        <v>milscm_2023_009</v>
      </c>
    </row>
    <row r="428" spans="2:23" ht="18.75" customHeight="1">
      <c r="C428" s="143"/>
      <c r="D428" s="144"/>
      <c r="E428" s="124"/>
      <c r="F428" s="37"/>
      <c r="G428" s="38"/>
      <c r="H428" s="37"/>
      <c r="I428" s="37"/>
      <c r="J428" s="37"/>
      <c r="K428" s="37"/>
      <c r="L428" s="37"/>
      <c r="M428" s="37"/>
      <c r="N428" s="37"/>
      <c r="O428" s="37"/>
      <c r="P428" s="37"/>
      <c r="Q428" s="37"/>
      <c r="R428" s="139"/>
      <c r="S428" s="140"/>
      <c r="T428" s="124"/>
    </row>
    <row r="429" spans="2:23" ht="18.75" customHeight="1">
      <c r="F429" s="39"/>
      <c r="G429" s="40"/>
    </row>
    <row r="430" spans="2:23" ht="18.75" customHeight="1">
      <c r="C430" s="119" t="s">
        <v>3740</v>
      </c>
      <c r="D430" s="120"/>
      <c r="E430" s="123" t="str">
        <f>エンティティ一覧!$O$2</f>
        <v>milscm_2023_009</v>
      </c>
      <c r="G430" s="41"/>
    </row>
    <row r="431" spans="2:23" ht="18.75" customHeight="1">
      <c r="C431" s="121"/>
      <c r="D431" s="122"/>
      <c r="E431" s="124"/>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4116</v>
      </c>
      <c r="D435" s="110"/>
      <c r="W435" s="35" t="str">
        <f>"-- "&amp;B435&amp;" : "&amp;C435</f>
        <v>-- SQL_ID : 31_C4-37</v>
      </c>
    </row>
    <row r="436" spans="2:23" ht="18.75" customHeight="1">
      <c r="B436" s="43" t="s">
        <v>158</v>
      </c>
      <c r="C436" s="127" t="str">
        <f>R439&amp;"登録"</f>
        <v>ベース_バイタルサインモジュール_バイタルサイン登録</v>
      </c>
      <c r="D436" s="128"/>
      <c r="E436" s="128"/>
      <c r="F436" s="128"/>
      <c r="G436" s="128"/>
      <c r="H436" s="128"/>
      <c r="I436" s="128"/>
      <c r="J436" s="128"/>
      <c r="K436" s="128"/>
      <c r="L436" s="128"/>
      <c r="M436" s="128"/>
      <c r="N436" s="128"/>
      <c r="O436" s="128"/>
      <c r="P436" s="128"/>
      <c r="Q436" s="128"/>
      <c r="R436" s="128"/>
      <c r="S436" s="128"/>
      <c r="T436" s="128"/>
      <c r="U436" s="129"/>
      <c r="W436" s="35" t="str">
        <f>"-- "&amp;C436</f>
        <v>-- ベース_バイタルサインモジュール_バイタルサイン登録</v>
      </c>
    </row>
    <row r="437" spans="2:23" ht="18.75" customHeight="1">
      <c r="B437" s="43" t="s">
        <v>159</v>
      </c>
      <c r="C437" s="130" t="str">
        <f>C439&amp;"テーブルから対象患者で絞り込んだ結果を"&amp;R439&amp;"テーブルに格納する。"</f>
        <v>バックアップ_バイタルサインモジュール_バイタルサインテーブルから対象患者で絞り込んだ結果をベース_バイタルサインモジュール_バイタルサインテーブルに格納する。</v>
      </c>
      <c r="D437" s="131"/>
      <c r="E437" s="131"/>
      <c r="F437" s="131"/>
      <c r="G437" s="131"/>
      <c r="H437" s="131"/>
      <c r="I437" s="131"/>
      <c r="J437" s="131"/>
      <c r="K437" s="131"/>
      <c r="L437" s="131"/>
      <c r="M437" s="131"/>
      <c r="N437" s="131"/>
      <c r="O437" s="131"/>
      <c r="P437" s="131"/>
      <c r="Q437" s="131"/>
      <c r="R437" s="131"/>
      <c r="S437" s="131"/>
      <c r="T437" s="131"/>
      <c r="U437" s="132"/>
      <c r="W437" s="35" t="str">
        <f>"-- "&amp;C437</f>
        <v>-- バックアップ_バイタルサインモジュール_バイタルサインテーブルから対象患者で絞り込んだ結果をベース_バイタルサインモジュール_バイタルサインテーブルに格納する。</v>
      </c>
    </row>
    <row r="439" spans="2:23" ht="18.75" customHeight="1">
      <c r="C439" s="119" t="s">
        <v>4118</v>
      </c>
      <c r="D439" s="120"/>
      <c r="E439" s="123" t="str">
        <f>エンティティ一覧!$O$2</f>
        <v>milscm_2023_009</v>
      </c>
      <c r="H439" s="36"/>
      <c r="I439" s="36"/>
      <c r="J439" s="36"/>
      <c r="K439" s="36"/>
      <c r="L439" s="36"/>
      <c r="M439" s="36"/>
      <c r="N439" s="36"/>
      <c r="O439" s="36"/>
      <c r="P439" s="36"/>
      <c r="Q439" s="36"/>
      <c r="R439" s="137" t="str">
        <f>"ベース"&amp;SUBSTITUTE(C439,"バックアップ","")</f>
        <v>ベース_バイタルサインモジュール_バイタルサイン</v>
      </c>
      <c r="S439" s="138"/>
      <c r="T439" s="123" t="str">
        <f>エンティティ一覧!$O$2</f>
        <v>milscm_2023_009</v>
      </c>
    </row>
    <row r="440" spans="2:23" ht="18.75" customHeight="1">
      <c r="C440" s="121"/>
      <c r="D440" s="122"/>
      <c r="E440" s="124"/>
      <c r="F440" s="37"/>
      <c r="G440" s="38"/>
      <c r="H440" s="37"/>
      <c r="I440" s="37"/>
      <c r="J440" s="37"/>
      <c r="K440" s="37"/>
      <c r="L440" s="37"/>
      <c r="M440" s="37"/>
      <c r="N440" s="37"/>
      <c r="O440" s="37"/>
      <c r="P440" s="37"/>
      <c r="Q440" s="37"/>
      <c r="R440" s="139"/>
      <c r="S440" s="140"/>
      <c r="T440" s="124"/>
    </row>
    <row r="441" spans="2:23" ht="18.75" customHeight="1">
      <c r="F441" s="39"/>
      <c r="G441" s="40"/>
    </row>
    <row r="442" spans="2:23" ht="18.75" customHeight="1">
      <c r="C442" s="119" t="s">
        <v>3740</v>
      </c>
      <c r="D442" s="120"/>
      <c r="E442" s="123" t="str">
        <f>エンティティ一覧!$O$2</f>
        <v>milscm_2023_009</v>
      </c>
      <c r="G442" s="41"/>
    </row>
    <row r="443" spans="2:23" ht="18.75" customHeight="1">
      <c r="C443" s="121"/>
      <c r="D443" s="122"/>
      <c r="E443" s="124"/>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4115</v>
      </c>
      <c r="D447" s="110"/>
      <c r="W447" s="35" t="str">
        <f>"-- "&amp;B447&amp;" : "&amp;C447</f>
        <v>-- SQL_ID : 31_C4-38</v>
      </c>
    </row>
    <row r="448" spans="2:23" ht="18.75" customHeight="1">
      <c r="B448" s="43" t="s">
        <v>158</v>
      </c>
      <c r="C448" s="127" t="str">
        <f>R451&amp;"登録"</f>
        <v>ベース_バイタルサインモジュール_記録項目登録</v>
      </c>
      <c r="D448" s="128"/>
      <c r="E448" s="128"/>
      <c r="F448" s="128"/>
      <c r="G448" s="128"/>
      <c r="H448" s="128"/>
      <c r="I448" s="128"/>
      <c r="J448" s="128"/>
      <c r="K448" s="128"/>
      <c r="L448" s="128"/>
      <c r="M448" s="128"/>
      <c r="N448" s="128"/>
      <c r="O448" s="128"/>
      <c r="P448" s="128"/>
      <c r="Q448" s="128"/>
      <c r="R448" s="128"/>
      <c r="S448" s="128"/>
      <c r="T448" s="128"/>
      <c r="U448" s="129"/>
      <c r="W448" s="35" t="str">
        <f>"-- "&amp;C448</f>
        <v>-- ベース_バイタルサインモジュール_記録項目登録</v>
      </c>
    </row>
    <row r="449" spans="2:23" ht="18.75" customHeight="1">
      <c r="B449" s="43" t="s">
        <v>159</v>
      </c>
      <c r="C449" s="130" t="str">
        <f>C451&amp;"テーブルから対象患者で絞り込んだ結果を"&amp;R451&amp;"テーブルに格納する。"</f>
        <v>バックアップ_バイタルサインモジュール_記録項目テーブルから対象患者で絞り込んだ結果をベース_バイタルサインモジュール_記録項目テーブルに格納する。</v>
      </c>
      <c r="D449" s="131"/>
      <c r="E449" s="131"/>
      <c r="F449" s="131"/>
      <c r="G449" s="131"/>
      <c r="H449" s="131"/>
      <c r="I449" s="131"/>
      <c r="J449" s="131"/>
      <c r="K449" s="131"/>
      <c r="L449" s="131"/>
      <c r="M449" s="131"/>
      <c r="N449" s="131"/>
      <c r="O449" s="131"/>
      <c r="P449" s="131"/>
      <c r="Q449" s="131"/>
      <c r="R449" s="131"/>
      <c r="S449" s="131"/>
      <c r="T449" s="131"/>
      <c r="U449" s="132"/>
      <c r="W449" s="35" t="str">
        <f>"-- "&amp;C449</f>
        <v>-- バックアップ_バイタルサインモジュール_記録項目テーブルから対象患者で絞り込んだ結果をベース_バイタルサインモジュール_記録項目テーブルに格納する。</v>
      </c>
    </row>
    <row r="451" spans="2:23" ht="18.75" customHeight="1">
      <c r="C451" s="119" t="s">
        <v>4119</v>
      </c>
      <c r="D451" s="120"/>
      <c r="E451" s="123" t="str">
        <f>エンティティ一覧!$O$2</f>
        <v>milscm_2023_009</v>
      </c>
      <c r="H451" s="36"/>
      <c r="I451" s="36"/>
      <c r="J451" s="36"/>
      <c r="K451" s="36"/>
      <c r="L451" s="36"/>
      <c r="M451" s="36"/>
      <c r="N451" s="36"/>
      <c r="O451" s="36"/>
      <c r="P451" s="36"/>
      <c r="Q451" s="36"/>
      <c r="R451" s="137" t="str">
        <f>"ベース"&amp;SUBSTITUTE(C451,"バックアップ","")</f>
        <v>ベース_バイタルサインモジュール_記録項目</v>
      </c>
      <c r="S451" s="138"/>
      <c r="T451" s="123" t="str">
        <f>エンティティ一覧!$O$2</f>
        <v>milscm_2023_009</v>
      </c>
    </row>
    <row r="452" spans="2:23" ht="18.75" customHeight="1">
      <c r="C452" s="121"/>
      <c r="D452" s="122"/>
      <c r="E452" s="124"/>
      <c r="F452" s="37"/>
      <c r="G452" s="38"/>
      <c r="H452" s="37"/>
      <c r="I452" s="37"/>
      <c r="J452" s="37"/>
      <c r="K452" s="37"/>
      <c r="L452" s="37"/>
      <c r="M452" s="37"/>
      <c r="N452" s="37"/>
      <c r="O452" s="37"/>
      <c r="P452" s="37"/>
      <c r="Q452" s="37"/>
      <c r="R452" s="139"/>
      <c r="S452" s="140"/>
      <c r="T452" s="124"/>
    </row>
    <row r="453" spans="2:23" ht="18.75" customHeight="1">
      <c r="F453" s="39"/>
      <c r="G453" s="40"/>
    </row>
    <row r="454" spans="2:23" ht="18.75" customHeight="1">
      <c r="C454" s="119" t="s">
        <v>3740</v>
      </c>
      <c r="D454" s="120"/>
      <c r="E454" s="123" t="str">
        <f>エンティティ一覧!$O$2</f>
        <v>milscm_2023_009</v>
      </c>
      <c r="G454" s="41"/>
    </row>
    <row r="455" spans="2:23" ht="18.75" customHeight="1">
      <c r="C455" s="121"/>
      <c r="D455" s="122"/>
      <c r="E455" s="124"/>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4114</v>
      </c>
      <c r="D459" s="110"/>
      <c r="W459" s="35" t="str">
        <f>"-- "&amp;B459&amp;" : "&amp;C459</f>
        <v>-- SQL_ID : 31_C4-40</v>
      </c>
    </row>
    <row r="460" spans="2:23" ht="18.75" customHeight="1">
      <c r="B460" s="43" t="s">
        <v>158</v>
      </c>
      <c r="C460" s="127" t="str">
        <f>R463&amp;"登録"</f>
        <v>ベース_体温表モジュール_バイタルサイン登録</v>
      </c>
      <c r="D460" s="128"/>
      <c r="E460" s="128"/>
      <c r="F460" s="128"/>
      <c r="G460" s="128"/>
      <c r="H460" s="128"/>
      <c r="I460" s="128"/>
      <c r="J460" s="128"/>
      <c r="K460" s="128"/>
      <c r="L460" s="128"/>
      <c r="M460" s="128"/>
      <c r="N460" s="128"/>
      <c r="O460" s="128"/>
      <c r="P460" s="128"/>
      <c r="Q460" s="128"/>
      <c r="R460" s="128"/>
      <c r="S460" s="128"/>
      <c r="T460" s="128"/>
      <c r="U460" s="129"/>
      <c r="W460" s="35" t="str">
        <f>"-- "&amp;C460</f>
        <v>-- ベース_体温表モジュール_バイタルサイン登録</v>
      </c>
    </row>
    <row r="461" spans="2:23" ht="18.75" customHeight="1">
      <c r="B461" s="43" t="s">
        <v>159</v>
      </c>
      <c r="C461" s="130" t="str">
        <f>C463&amp;"テーブルから対象患者で絞り込んだ結果を"&amp;R463&amp;"テーブルに格納する。"</f>
        <v>バックアップ_体温表モジュール_バイタルサインテーブルから対象患者で絞り込んだ結果をベース_体温表モジュール_バイタルサインテーブルに格納する。</v>
      </c>
      <c r="D461" s="131"/>
      <c r="E461" s="131"/>
      <c r="F461" s="131"/>
      <c r="G461" s="131"/>
      <c r="H461" s="131"/>
      <c r="I461" s="131"/>
      <c r="J461" s="131"/>
      <c r="K461" s="131"/>
      <c r="L461" s="131"/>
      <c r="M461" s="131"/>
      <c r="N461" s="131"/>
      <c r="O461" s="131"/>
      <c r="P461" s="131"/>
      <c r="Q461" s="131"/>
      <c r="R461" s="131"/>
      <c r="S461" s="131"/>
      <c r="T461" s="131"/>
      <c r="U461" s="132"/>
      <c r="W461" s="35" t="str">
        <f>"-- "&amp;C461</f>
        <v>-- バックアップ_体温表モジュール_バイタルサインテーブルから対象患者で絞り込んだ結果をベース_体温表モジュール_バイタルサインテーブルに格納する。</v>
      </c>
    </row>
    <row r="463" spans="2:23" ht="18.75" customHeight="1">
      <c r="C463" s="119" t="s">
        <v>4120</v>
      </c>
      <c r="D463" s="120"/>
      <c r="E463" s="123" t="str">
        <f>エンティティ一覧!$O$2</f>
        <v>milscm_2023_009</v>
      </c>
      <c r="H463" s="36"/>
      <c r="I463" s="36"/>
      <c r="J463" s="36"/>
      <c r="K463" s="36"/>
      <c r="L463" s="36"/>
      <c r="M463" s="36"/>
      <c r="N463" s="36"/>
      <c r="O463" s="36"/>
      <c r="P463" s="36"/>
      <c r="Q463" s="36"/>
      <c r="R463" s="137" t="str">
        <f>"ベース"&amp;SUBSTITUTE(C463,"バックアップ","")</f>
        <v>ベース_体温表モジュール_バイタルサイン</v>
      </c>
      <c r="S463" s="138"/>
      <c r="T463" s="123" t="str">
        <f>エンティティ一覧!$O$2</f>
        <v>milscm_2023_009</v>
      </c>
    </row>
    <row r="464" spans="2:23" ht="18.75" customHeight="1">
      <c r="C464" s="121"/>
      <c r="D464" s="122"/>
      <c r="E464" s="124"/>
      <c r="F464" s="37"/>
      <c r="G464" s="38"/>
      <c r="H464" s="37"/>
      <c r="I464" s="37"/>
      <c r="J464" s="37"/>
      <c r="K464" s="37"/>
      <c r="L464" s="37"/>
      <c r="M464" s="37"/>
      <c r="N464" s="37"/>
      <c r="O464" s="37"/>
      <c r="P464" s="37"/>
      <c r="Q464" s="37"/>
      <c r="R464" s="139"/>
      <c r="S464" s="140"/>
      <c r="T464" s="124"/>
    </row>
    <row r="465" spans="2:23" ht="18.75" customHeight="1">
      <c r="F465" s="39"/>
      <c r="G465" s="40"/>
    </row>
    <row r="466" spans="2:23" ht="18.75" customHeight="1">
      <c r="C466" s="119" t="s">
        <v>3740</v>
      </c>
      <c r="D466" s="120"/>
      <c r="E466" s="123" t="str">
        <f>エンティティ一覧!$O$2</f>
        <v>milscm_2023_009</v>
      </c>
      <c r="G466" s="41"/>
    </row>
    <row r="467" spans="2:23" ht="18.75" customHeight="1">
      <c r="C467" s="121"/>
      <c r="D467" s="122"/>
      <c r="E467" s="124"/>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4113</v>
      </c>
      <c r="D471" s="110"/>
      <c r="W471" s="35" t="str">
        <f>"-- "&amp;B471&amp;" : "&amp;C471</f>
        <v>-- SQL_ID : 31_C4-41</v>
      </c>
    </row>
    <row r="472" spans="2:23" ht="18.75" customHeight="1">
      <c r="B472" s="43" t="s">
        <v>158</v>
      </c>
      <c r="C472" s="127" t="str">
        <f>R475&amp;"登録"</f>
        <v>ベース_体温表モジュール_記録項目登録</v>
      </c>
      <c r="D472" s="128"/>
      <c r="E472" s="128"/>
      <c r="F472" s="128"/>
      <c r="G472" s="128"/>
      <c r="H472" s="128"/>
      <c r="I472" s="128"/>
      <c r="J472" s="128"/>
      <c r="K472" s="128"/>
      <c r="L472" s="128"/>
      <c r="M472" s="128"/>
      <c r="N472" s="128"/>
      <c r="O472" s="128"/>
      <c r="P472" s="128"/>
      <c r="Q472" s="128"/>
      <c r="R472" s="128"/>
      <c r="S472" s="128"/>
      <c r="T472" s="128"/>
      <c r="U472" s="129"/>
      <c r="W472" s="35" t="str">
        <f>"-- "&amp;C472</f>
        <v>-- ベース_体温表モジュール_記録項目登録</v>
      </c>
    </row>
    <row r="473" spans="2:23" ht="18.75" customHeight="1">
      <c r="B473" s="43" t="s">
        <v>159</v>
      </c>
      <c r="C473" s="130" t="str">
        <f>C475&amp;"テーブルから対象患者で絞り込んだ結果を"&amp;R475&amp;"テーブルに格納する。"</f>
        <v>バックアップ_体温表モジュール_記録項目テーブルから対象患者で絞り込んだ結果をベース_体温表モジュール_記録項目テーブルに格納する。</v>
      </c>
      <c r="D473" s="131"/>
      <c r="E473" s="131"/>
      <c r="F473" s="131"/>
      <c r="G473" s="131"/>
      <c r="H473" s="131"/>
      <c r="I473" s="131"/>
      <c r="J473" s="131"/>
      <c r="K473" s="131"/>
      <c r="L473" s="131"/>
      <c r="M473" s="131"/>
      <c r="N473" s="131"/>
      <c r="O473" s="131"/>
      <c r="P473" s="131"/>
      <c r="Q473" s="131"/>
      <c r="R473" s="131"/>
      <c r="S473" s="131"/>
      <c r="T473" s="131"/>
      <c r="U473" s="132"/>
      <c r="W473" s="35" t="str">
        <f>"-- "&amp;C473</f>
        <v>-- バックアップ_体温表モジュール_記録項目テーブルから対象患者で絞り込んだ結果をベース_体温表モジュール_記録項目テーブルに格納する。</v>
      </c>
    </row>
    <row r="475" spans="2:23" ht="18.75" customHeight="1">
      <c r="C475" s="119" t="s">
        <v>4121</v>
      </c>
      <c r="D475" s="120"/>
      <c r="E475" s="123" t="str">
        <f>エンティティ一覧!$O$2</f>
        <v>milscm_2023_009</v>
      </c>
      <c r="H475" s="36"/>
      <c r="I475" s="36"/>
      <c r="J475" s="36"/>
      <c r="K475" s="36"/>
      <c r="L475" s="36"/>
      <c r="M475" s="36"/>
      <c r="N475" s="36"/>
      <c r="O475" s="36"/>
      <c r="P475" s="36"/>
      <c r="Q475" s="36"/>
      <c r="R475" s="137" t="str">
        <f>"ベース"&amp;SUBSTITUTE(C475,"バックアップ","")</f>
        <v>ベース_体温表モジュール_記録項目</v>
      </c>
      <c r="S475" s="138"/>
      <c r="T475" s="123" t="str">
        <f>エンティティ一覧!$O$2</f>
        <v>milscm_2023_009</v>
      </c>
    </row>
    <row r="476" spans="2:23" ht="18.75" customHeight="1">
      <c r="C476" s="121"/>
      <c r="D476" s="122"/>
      <c r="E476" s="124"/>
      <c r="F476" s="37"/>
      <c r="G476" s="38"/>
      <c r="H476" s="37"/>
      <c r="I476" s="37"/>
      <c r="J476" s="37"/>
      <c r="K476" s="37"/>
      <c r="L476" s="37"/>
      <c r="M476" s="37"/>
      <c r="N476" s="37"/>
      <c r="O476" s="37"/>
      <c r="P476" s="37"/>
      <c r="Q476" s="37"/>
      <c r="R476" s="139"/>
      <c r="S476" s="140"/>
      <c r="T476" s="124"/>
    </row>
    <row r="477" spans="2:23" ht="18.75" customHeight="1">
      <c r="F477" s="39"/>
      <c r="G477" s="40"/>
    </row>
    <row r="478" spans="2:23" ht="18.75" customHeight="1">
      <c r="C478" s="119" t="s">
        <v>3740</v>
      </c>
      <c r="D478" s="120"/>
      <c r="E478" s="123" t="str">
        <f>エンティティ一覧!$O$2</f>
        <v>milscm_2023_009</v>
      </c>
      <c r="G478" s="41"/>
    </row>
    <row r="479" spans="2:23" ht="18.75" customHeight="1">
      <c r="C479" s="121"/>
      <c r="D479" s="122"/>
      <c r="E479" s="124"/>
      <c r="F479" s="37"/>
    </row>
    <row r="481" spans="2:21" ht="18.75" customHeight="1" thickBot="1">
      <c r="B481" s="42"/>
      <c r="C481" s="42"/>
      <c r="D481" s="42"/>
      <c r="E481" s="42"/>
      <c r="F481" s="42"/>
      <c r="G481" s="42"/>
      <c r="H481" s="42"/>
      <c r="I481" s="42"/>
      <c r="J481" s="42"/>
      <c r="K481" s="42"/>
      <c r="L481" s="42"/>
      <c r="M481" s="42"/>
      <c r="N481" s="42"/>
      <c r="O481" s="42"/>
      <c r="P481" s="42"/>
      <c r="Q481" s="42"/>
      <c r="R481" s="42"/>
      <c r="S481" s="42"/>
      <c r="T481" s="42"/>
      <c r="U481" s="42"/>
    </row>
  </sheetData>
  <mergeCells count="320">
    <mergeCell ref="C478:D479"/>
    <mergeCell ref="E478:E479"/>
    <mergeCell ref="C463:D464"/>
    <mergeCell ref="E463:E464"/>
    <mergeCell ref="R463:S464"/>
    <mergeCell ref="T463:T464"/>
    <mergeCell ref="C466:D467"/>
    <mergeCell ref="E466:E467"/>
    <mergeCell ref="C472:U472"/>
    <mergeCell ref="C473:U473"/>
    <mergeCell ref="C475:D476"/>
    <mergeCell ref="E475:E476"/>
    <mergeCell ref="R475:S476"/>
    <mergeCell ref="T475:T476"/>
    <mergeCell ref="C449:U449"/>
    <mergeCell ref="C451:D452"/>
    <mergeCell ref="E451:E452"/>
    <mergeCell ref="R451:S452"/>
    <mergeCell ref="T451:T452"/>
    <mergeCell ref="C454:D455"/>
    <mergeCell ref="E454:E455"/>
    <mergeCell ref="C460:U460"/>
    <mergeCell ref="C461:U461"/>
    <mergeCell ref="C436:U436"/>
    <mergeCell ref="C437:U437"/>
    <mergeCell ref="C439:D440"/>
    <mergeCell ref="E439:E440"/>
    <mergeCell ref="R439:S440"/>
    <mergeCell ref="T439:T440"/>
    <mergeCell ref="C442:D443"/>
    <mergeCell ref="E442:E443"/>
    <mergeCell ref="C448:U448"/>
    <mergeCell ref="C154:D155"/>
    <mergeCell ref="E154:E155"/>
    <mergeCell ref="C130:D131"/>
    <mergeCell ref="E130:E131"/>
    <mergeCell ref="C136:U136"/>
    <mergeCell ref="C137:U137"/>
    <mergeCell ref="C139:D140"/>
    <mergeCell ref="E139:E140"/>
    <mergeCell ref="R139:S140"/>
    <mergeCell ref="T139:T140"/>
    <mergeCell ref="C142:D143"/>
    <mergeCell ref="E142:E143"/>
    <mergeCell ref="C127:D128"/>
    <mergeCell ref="E127:E128"/>
    <mergeCell ref="R127:S128"/>
    <mergeCell ref="T127:T128"/>
    <mergeCell ref="C148:U148"/>
    <mergeCell ref="C149:U149"/>
    <mergeCell ref="C151:D152"/>
    <mergeCell ref="E151:E152"/>
    <mergeCell ref="R151:S152"/>
    <mergeCell ref="T151:T152"/>
    <mergeCell ref="C113:U113"/>
    <mergeCell ref="C115:D116"/>
    <mergeCell ref="E115:E116"/>
    <mergeCell ref="R115:S116"/>
    <mergeCell ref="T115:T116"/>
    <mergeCell ref="C118:D119"/>
    <mergeCell ref="E118:E119"/>
    <mergeCell ref="C124:U124"/>
    <mergeCell ref="C125:U125"/>
    <mergeCell ref="C100:U100"/>
    <mergeCell ref="C101:U101"/>
    <mergeCell ref="C103:D104"/>
    <mergeCell ref="E103:E104"/>
    <mergeCell ref="R103:S104"/>
    <mergeCell ref="T103:T104"/>
    <mergeCell ref="C106:D107"/>
    <mergeCell ref="E106:E107"/>
    <mergeCell ref="C112:U112"/>
    <mergeCell ref="C425:U425"/>
    <mergeCell ref="C427:D428"/>
    <mergeCell ref="E427:E428"/>
    <mergeCell ref="R427:S428"/>
    <mergeCell ref="T427:T428"/>
    <mergeCell ref="C430:D431"/>
    <mergeCell ref="E430:E431"/>
    <mergeCell ref="C412:U412"/>
    <mergeCell ref="C413:U413"/>
    <mergeCell ref="C415:D416"/>
    <mergeCell ref="E415:E416"/>
    <mergeCell ref="R415:S416"/>
    <mergeCell ref="T415:T416"/>
    <mergeCell ref="C418:D419"/>
    <mergeCell ref="E418:E419"/>
    <mergeCell ref="C424:U424"/>
    <mergeCell ref="C394:D395"/>
    <mergeCell ref="E394:E395"/>
    <mergeCell ref="C400:U400"/>
    <mergeCell ref="C401:U401"/>
    <mergeCell ref="C403:D404"/>
    <mergeCell ref="E403:E404"/>
    <mergeCell ref="R403:S404"/>
    <mergeCell ref="T403:T404"/>
    <mergeCell ref="C406:D407"/>
    <mergeCell ref="E406:E40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65:U365"/>
    <mergeCell ref="C367:D368"/>
    <mergeCell ref="E367:E368"/>
    <mergeCell ref="R367:S368"/>
    <mergeCell ref="T367:T368"/>
    <mergeCell ref="C370:D371"/>
    <mergeCell ref="E370:E371"/>
    <mergeCell ref="C376:U376"/>
    <mergeCell ref="C377:U377"/>
    <mergeCell ref="C352:U352"/>
    <mergeCell ref="C353:U353"/>
    <mergeCell ref="C355:D356"/>
    <mergeCell ref="E355:E356"/>
    <mergeCell ref="R355:S356"/>
    <mergeCell ref="T355:T356"/>
    <mergeCell ref="C358:D359"/>
    <mergeCell ref="E358:E359"/>
    <mergeCell ref="C364:U364"/>
    <mergeCell ref="R223:S224"/>
    <mergeCell ref="T223:T224"/>
    <mergeCell ref="C208:U208"/>
    <mergeCell ref="C209:U209"/>
    <mergeCell ref="C211:D212"/>
    <mergeCell ref="E211:E212"/>
    <mergeCell ref="R211:S212"/>
    <mergeCell ref="T211:T212"/>
    <mergeCell ref="C196:U196"/>
    <mergeCell ref="C197:U197"/>
    <mergeCell ref="C199:D200"/>
    <mergeCell ref="E199:E200"/>
    <mergeCell ref="R199:S200"/>
    <mergeCell ref="T199:T200"/>
    <mergeCell ref="C4:U4"/>
    <mergeCell ref="C5:U5"/>
    <mergeCell ref="C7:D8"/>
    <mergeCell ref="E7:E8"/>
    <mergeCell ref="R7:S8"/>
    <mergeCell ref="T7:T8"/>
    <mergeCell ref="C238:D239"/>
    <mergeCell ref="E238:E239"/>
    <mergeCell ref="C250:D251"/>
    <mergeCell ref="E250:E251"/>
    <mergeCell ref="C202:D203"/>
    <mergeCell ref="E202:E203"/>
    <mergeCell ref="C214:D215"/>
    <mergeCell ref="E214:E215"/>
    <mergeCell ref="C226:D227"/>
    <mergeCell ref="E226:E227"/>
    <mergeCell ref="C244:U244"/>
    <mergeCell ref="C245:U245"/>
    <mergeCell ref="C247:D248"/>
    <mergeCell ref="E247:E248"/>
    <mergeCell ref="R247:S248"/>
    <mergeCell ref="T247:T248"/>
    <mergeCell ref="C232:U232"/>
    <mergeCell ref="C233:U233"/>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166:D167"/>
    <mergeCell ref="E166:E167"/>
    <mergeCell ref="C172:U172"/>
    <mergeCell ref="C173:U173"/>
    <mergeCell ref="C175:D176"/>
    <mergeCell ref="E175:E176"/>
    <mergeCell ref="R175:S176"/>
    <mergeCell ref="T175:T176"/>
    <mergeCell ref="C82:D83"/>
    <mergeCell ref="E82:E83"/>
    <mergeCell ref="C160:U160"/>
    <mergeCell ref="C161:U161"/>
    <mergeCell ref="C163:D164"/>
    <mergeCell ref="E163:E164"/>
    <mergeCell ref="R163:S164"/>
    <mergeCell ref="T163:T164"/>
    <mergeCell ref="C88:U88"/>
    <mergeCell ref="C89:U89"/>
    <mergeCell ref="C91:D92"/>
    <mergeCell ref="E91:E92"/>
    <mergeCell ref="R91:S92"/>
    <mergeCell ref="T91:T92"/>
    <mergeCell ref="C94:D95"/>
    <mergeCell ref="E94:E95"/>
    <mergeCell ref="C190:D191"/>
    <mergeCell ref="E190:E191"/>
    <mergeCell ref="C256:U256"/>
    <mergeCell ref="C257:U257"/>
    <mergeCell ref="C259:D260"/>
    <mergeCell ref="E259:E260"/>
    <mergeCell ref="R259:S260"/>
    <mergeCell ref="T259:T260"/>
    <mergeCell ref="C178:D179"/>
    <mergeCell ref="E178:E179"/>
    <mergeCell ref="C184:U184"/>
    <mergeCell ref="C185:U185"/>
    <mergeCell ref="C187:D188"/>
    <mergeCell ref="E187:E188"/>
    <mergeCell ref="R187:S188"/>
    <mergeCell ref="T187:T188"/>
    <mergeCell ref="C235:D236"/>
    <mergeCell ref="E235:E236"/>
    <mergeCell ref="R235:S236"/>
    <mergeCell ref="T235:T236"/>
    <mergeCell ref="C220:U220"/>
    <mergeCell ref="C221:U221"/>
    <mergeCell ref="C223:D224"/>
    <mergeCell ref="E223:E224"/>
    <mergeCell ref="C274:D275"/>
    <mergeCell ref="E274:E275"/>
    <mergeCell ref="C280:U280"/>
    <mergeCell ref="C281:U281"/>
    <mergeCell ref="C283:D284"/>
    <mergeCell ref="E283:E284"/>
    <mergeCell ref="R283:S284"/>
    <mergeCell ref="T283:T284"/>
    <mergeCell ref="C262:D263"/>
    <mergeCell ref="E262:E263"/>
    <mergeCell ref="C268:U268"/>
    <mergeCell ref="C269:U269"/>
    <mergeCell ref="C271:D272"/>
    <mergeCell ref="E271:E272"/>
    <mergeCell ref="R271:S272"/>
    <mergeCell ref="T271:T272"/>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346:D347"/>
    <mergeCell ref="E346:E347"/>
    <mergeCell ref="C334:D335"/>
    <mergeCell ref="E334:E335"/>
    <mergeCell ref="C340:U340"/>
    <mergeCell ref="C341:U341"/>
    <mergeCell ref="C343:D344"/>
    <mergeCell ref="E343:E344"/>
    <mergeCell ref="R343:S344"/>
    <mergeCell ref="T343:T34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465"/>
  <sheetViews>
    <sheetView showGridLines="0" topLeftCell="A372" zoomScaleNormal="100" workbookViewId="0">
      <selection activeCell="W300" sqref="W300:W302"/>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4122</v>
      </c>
      <c r="D3" s="112"/>
      <c r="W3" s="35" t="str">
        <f>"-- "&amp;B3&amp;" : "&amp;C3</f>
        <v>-- SQL_ID : 41_01</v>
      </c>
    </row>
    <row r="4" spans="1:23" ht="18.75" customHeight="1">
      <c r="B4" s="43" t="s">
        <v>158</v>
      </c>
      <c r="C4" s="127" t="str">
        <f>R7&amp;"登録"</f>
        <v>ワーク_患者基本データ登録</v>
      </c>
      <c r="D4" s="128"/>
      <c r="E4" s="128"/>
      <c r="F4" s="128"/>
      <c r="G4" s="128"/>
      <c r="H4" s="128"/>
      <c r="I4" s="128"/>
      <c r="J4" s="128"/>
      <c r="K4" s="128"/>
      <c r="L4" s="128"/>
      <c r="M4" s="128"/>
      <c r="N4" s="128"/>
      <c r="O4" s="128"/>
      <c r="P4" s="128"/>
      <c r="Q4" s="128"/>
      <c r="R4" s="128"/>
      <c r="S4" s="128"/>
      <c r="T4" s="128"/>
      <c r="U4" s="129"/>
      <c r="W4" s="35" t="str">
        <f>"-- "&amp;C4</f>
        <v>-- ワーク_患者基本データ登録</v>
      </c>
    </row>
    <row r="5" spans="1:23" ht="18.75" customHeight="1">
      <c r="B5" s="43" t="s">
        <v>159</v>
      </c>
      <c r="C5" s="130" t="str">
        <f>"レセプト、MMLの患者データを抽出し、"&amp;R7&amp;"テーブルに格納する。"</f>
        <v>レセプト、MMLの患者データを抽出し、ワーク_患者基本データテーブルに格納する。</v>
      </c>
      <c r="D5" s="131"/>
      <c r="E5" s="131"/>
      <c r="F5" s="131"/>
      <c r="G5" s="131"/>
      <c r="H5" s="131"/>
      <c r="I5" s="131"/>
      <c r="J5" s="131"/>
      <c r="K5" s="131"/>
      <c r="L5" s="131"/>
      <c r="M5" s="131"/>
      <c r="N5" s="131"/>
      <c r="O5" s="131"/>
      <c r="P5" s="131"/>
      <c r="Q5" s="131"/>
      <c r="R5" s="131"/>
      <c r="S5" s="131"/>
      <c r="T5" s="131"/>
      <c r="U5" s="132"/>
      <c r="W5" s="35" t="str">
        <f>"-- "&amp;C5</f>
        <v>-- レセプト、MMLの患者データを抽出し、ワーク_患者基本データテーブルに格納する。</v>
      </c>
    </row>
    <row r="7" spans="1:23" ht="18.75" customHeight="1">
      <c r="C7" s="119" t="s">
        <v>4123</v>
      </c>
      <c r="D7" s="120"/>
      <c r="E7" s="123" t="str">
        <f>エンティティ一覧!$O$2</f>
        <v>milscm_2023_009</v>
      </c>
      <c r="F7" s="36"/>
      <c r="G7" s="36"/>
      <c r="H7" s="36"/>
      <c r="I7" s="36"/>
      <c r="J7" s="36"/>
      <c r="K7" s="36"/>
      <c r="L7" s="36"/>
      <c r="M7" s="36"/>
      <c r="N7" s="36"/>
      <c r="O7" s="36"/>
      <c r="R7" s="119" t="s">
        <v>4124</v>
      </c>
      <c r="S7" s="120"/>
      <c r="T7" s="123" t="str">
        <f>エンティティ一覧!$O$2</f>
        <v>milscm_2023_009</v>
      </c>
      <c r="W7" s="35" t="s">
        <v>3670</v>
      </c>
    </row>
    <row r="8" spans="1:23" ht="18.75" customHeight="1">
      <c r="C8" s="121"/>
      <c r="D8" s="122"/>
      <c r="E8" s="124"/>
      <c r="F8" s="37"/>
      <c r="G8" s="37"/>
      <c r="H8" s="37"/>
      <c r="I8" s="37"/>
      <c r="J8" s="37"/>
      <c r="K8" s="37"/>
      <c r="L8" s="37"/>
      <c r="M8" s="37"/>
      <c r="N8" s="37"/>
      <c r="O8" s="37"/>
      <c r="P8" s="37"/>
      <c r="Q8" s="38"/>
      <c r="R8" s="121"/>
      <c r="S8" s="122"/>
      <c r="T8" s="124"/>
    </row>
    <row r="9" spans="1:23" ht="18.75" customHeight="1">
      <c r="P9" s="39"/>
      <c r="Q9" s="40"/>
    </row>
    <row r="10" spans="1:23" ht="18.75" customHeight="1">
      <c r="H10" s="119" t="s">
        <v>187</v>
      </c>
      <c r="I10" s="120"/>
      <c r="J10" s="123" t="str">
        <f>エンティティ一覧!$O$2</f>
        <v>milscm_2023_009</v>
      </c>
      <c r="M10" s="36"/>
      <c r="N10" s="36"/>
      <c r="O10" s="36"/>
      <c r="Q10" s="41"/>
    </row>
    <row r="11" spans="1:23" ht="18.75" customHeight="1">
      <c r="H11" s="121"/>
      <c r="I11" s="122"/>
      <c r="J11" s="124"/>
      <c r="K11" s="37"/>
      <c r="L11" s="37"/>
      <c r="M11" s="37"/>
      <c r="N11" s="37"/>
      <c r="O11" s="37"/>
      <c r="P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4126</v>
      </c>
      <c r="D15" s="112"/>
      <c r="W15" s="35" t="str">
        <f>"-- "&amp;B15&amp;" : "&amp;C15</f>
        <v>-- SQL_ID : 41_02</v>
      </c>
    </row>
    <row r="16" spans="1:23" ht="18.75" customHeight="1">
      <c r="B16" s="43" t="s">
        <v>158</v>
      </c>
      <c r="C16" s="127" t="str">
        <f>R19&amp;"登録"</f>
        <v>ワーク_疾患データ登録</v>
      </c>
      <c r="D16" s="128"/>
      <c r="E16" s="128"/>
      <c r="F16" s="128"/>
      <c r="G16" s="128"/>
      <c r="H16" s="128"/>
      <c r="I16" s="128"/>
      <c r="J16" s="128"/>
      <c r="K16" s="128"/>
      <c r="L16" s="128"/>
      <c r="M16" s="128"/>
      <c r="N16" s="128"/>
      <c r="O16" s="128"/>
      <c r="P16" s="128"/>
      <c r="Q16" s="128"/>
      <c r="R16" s="128"/>
      <c r="S16" s="128"/>
      <c r="T16" s="128"/>
      <c r="U16" s="129"/>
      <c r="W16" s="35" t="str">
        <f>"-- "&amp;C16</f>
        <v>-- ワーク_疾患データ登録</v>
      </c>
    </row>
    <row r="17" spans="2:23" ht="18.75" customHeight="1">
      <c r="B17" s="43" t="s">
        <v>159</v>
      </c>
      <c r="C17" s="130" t="s">
        <v>4125</v>
      </c>
      <c r="D17" s="131"/>
      <c r="E17" s="131"/>
      <c r="F17" s="131"/>
      <c r="G17" s="131"/>
      <c r="H17" s="131"/>
      <c r="I17" s="131"/>
      <c r="J17" s="131"/>
      <c r="K17" s="131"/>
      <c r="L17" s="131"/>
      <c r="M17" s="131"/>
      <c r="N17" s="131"/>
      <c r="O17" s="131"/>
      <c r="P17" s="131"/>
      <c r="Q17" s="131"/>
      <c r="R17" s="131"/>
      <c r="S17" s="131"/>
      <c r="T17" s="131"/>
      <c r="U17" s="132"/>
      <c r="W17" s="35" t="str">
        <f>"-- "&amp;C17</f>
        <v>-- MMLの疾患データ（疑いを除く）を抽出し、疾患マスタに登録されている疾患コードのデータを登録する。</v>
      </c>
    </row>
    <row r="19" spans="2:23" ht="18.75" customHeight="1">
      <c r="C19" s="119" t="s">
        <v>3679</v>
      </c>
      <c r="D19" s="120"/>
      <c r="E19" s="123" t="str">
        <f>エンティティ一覧!$O$2</f>
        <v>milscm_2023_009</v>
      </c>
      <c r="H19" s="36"/>
      <c r="I19" s="36"/>
      <c r="J19" s="36"/>
      <c r="M19" s="36"/>
      <c r="R19" s="119" t="s">
        <v>4128</v>
      </c>
      <c r="S19" s="120"/>
      <c r="T19" s="123" t="str">
        <f>エンティティ一覧!$O$2</f>
        <v>milscm_2023_009</v>
      </c>
    </row>
    <row r="20" spans="2:23" ht="18.75" customHeight="1">
      <c r="C20" s="121"/>
      <c r="D20" s="122"/>
      <c r="E20" s="124"/>
      <c r="F20" s="37"/>
      <c r="G20" s="38"/>
      <c r="H20" s="37"/>
      <c r="I20" s="37"/>
      <c r="J20" s="37"/>
      <c r="K20" s="37"/>
      <c r="L20" s="38"/>
      <c r="M20" s="37"/>
      <c r="N20" s="37"/>
      <c r="O20" s="38"/>
      <c r="P20" s="96"/>
      <c r="Q20" s="38"/>
      <c r="R20" s="121"/>
      <c r="S20" s="122"/>
      <c r="T20" s="124"/>
    </row>
    <row r="21" spans="2:23" ht="18.75" customHeight="1">
      <c r="F21" s="39"/>
      <c r="G21" s="40"/>
      <c r="K21" s="39"/>
      <c r="L21" s="40"/>
      <c r="N21" s="39"/>
      <c r="O21" s="40"/>
      <c r="P21" s="115"/>
      <c r="Q21" s="40"/>
    </row>
    <row r="22" spans="2:23" ht="18.75" customHeight="1">
      <c r="C22" s="119" t="s">
        <v>178</v>
      </c>
      <c r="D22" s="120"/>
      <c r="E22" s="123" t="str">
        <f>エンティティ一覧!$O$2</f>
        <v>milscm_2023_009</v>
      </c>
      <c r="G22" s="41"/>
      <c r="K22" s="39"/>
      <c r="L22" s="40"/>
      <c r="N22" s="39"/>
      <c r="O22" s="40"/>
      <c r="P22" s="115"/>
      <c r="Q22" s="40"/>
    </row>
    <row r="23" spans="2:23" ht="18.75" customHeight="1">
      <c r="C23" s="121"/>
      <c r="D23" s="122"/>
      <c r="E23" s="124"/>
      <c r="F23" s="37"/>
      <c r="K23" s="39"/>
      <c r="L23" s="40"/>
      <c r="N23" s="39"/>
      <c r="O23" s="40"/>
      <c r="P23" s="115"/>
      <c r="Q23" s="40"/>
    </row>
    <row r="24" spans="2:23" ht="18.75" customHeight="1">
      <c r="K24" s="39"/>
      <c r="L24" s="40"/>
      <c r="N24" s="39"/>
      <c r="O24" s="40"/>
      <c r="P24" s="115"/>
      <c r="Q24" s="40"/>
    </row>
    <row r="25" spans="2:23" ht="18.75" customHeight="1">
      <c r="H25" s="133" t="s">
        <v>3678</v>
      </c>
      <c r="I25" s="134"/>
      <c r="J25" s="123" t="str">
        <f>エンティティ一覧!$O$2</f>
        <v>milscm_2023_009</v>
      </c>
      <c r="L25" s="41"/>
      <c r="N25" s="39"/>
      <c r="O25" s="40"/>
      <c r="P25" s="115"/>
      <c r="Q25" s="40"/>
    </row>
    <row r="26" spans="2:23" ht="18.75" customHeight="1">
      <c r="H26" s="135"/>
      <c r="I26" s="136"/>
      <c r="J26" s="124"/>
      <c r="K26" s="37"/>
      <c r="N26" s="39"/>
      <c r="O26" s="40"/>
      <c r="P26" s="115"/>
      <c r="Q26" s="40"/>
    </row>
    <row r="27" spans="2:23" ht="18.75" customHeight="1">
      <c r="N27" s="39"/>
      <c r="O27" s="40"/>
      <c r="P27" s="115"/>
      <c r="Q27" s="40"/>
    </row>
    <row r="28" spans="2:23" ht="18.75" customHeight="1">
      <c r="C28" s="119" t="s">
        <v>3699</v>
      </c>
      <c r="D28" s="120"/>
      <c r="E28" s="123" t="str">
        <f>エンティティ一覧!$O$2</f>
        <v>milscm_2023_009</v>
      </c>
      <c r="H28" s="36"/>
      <c r="I28" s="36"/>
      <c r="J28" s="36"/>
      <c r="M28" s="36"/>
      <c r="O28" s="41"/>
      <c r="P28" s="115"/>
      <c r="Q28" s="40"/>
    </row>
    <row r="29" spans="2:23" ht="18.75" customHeight="1">
      <c r="C29" s="121"/>
      <c r="D29" s="122"/>
      <c r="E29" s="124"/>
      <c r="F29" s="37"/>
      <c r="G29" s="38"/>
      <c r="H29" s="37"/>
      <c r="I29" s="37"/>
      <c r="J29" s="37"/>
      <c r="K29" s="37"/>
      <c r="L29" s="38"/>
      <c r="M29" s="37"/>
      <c r="N29" s="37"/>
      <c r="P29" s="115"/>
      <c r="Q29" s="40"/>
    </row>
    <row r="30" spans="2:23" ht="18.75" customHeight="1">
      <c r="F30" s="39"/>
      <c r="G30" s="40"/>
      <c r="K30" s="39"/>
      <c r="L30" s="40"/>
      <c r="P30" s="115"/>
      <c r="Q30" s="40"/>
    </row>
    <row r="31" spans="2:23" ht="18.75" customHeight="1">
      <c r="C31" s="119" t="s">
        <v>178</v>
      </c>
      <c r="D31" s="120"/>
      <c r="E31" s="123" t="str">
        <f>エンティティ一覧!$O$2</f>
        <v>milscm_2023_009</v>
      </c>
      <c r="G31" s="41"/>
      <c r="K31" s="39"/>
      <c r="L31" s="40"/>
      <c r="P31" s="115"/>
      <c r="Q31" s="40"/>
    </row>
    <row r="32" spans="2:23" ht="18.75" customHeight="1">
      <c r="C32" s="121"/>
      <c r="D32" s="122"/>
      <c r="E32" s="124"/>
      <c r="F32" s="37"/>
      <c r="K32" s="39"/>
      <c r="L32" s="40"/>
      <c r="P32" s="115"/>
      <c r="Q32" s="40"/>
    </row>
    <row r="33" spans="3:17" ht="18.75" customHeight="1">
      <c r="K33" s="39"/>
      <c r="L33" s="40"/>
      <c r="P33" s="115"/>
      <c r="Q33" s="40"/>
    </row>
    <row r="34" spans="3:17" ht="18.75" customHeight="1">
      <c r="H34" s="119" t="s">
        <v>4127</v>
      </c>
      <c r="I34" s="120"/>
      <c r="J34" s="123" t="str">
        <f>エンティティ一覧!$O$2</f>
        <v>milscm_2023_009</v>
      </c>
      <c r="L34" s="41"/>
      <c r="P34" s="115"/>
      <c r="Q34" s="40"/>
    </row>
    <row r="35" spans="3:17" ht="18.75" customHeight="1">
      <c r="H35" s="121"/>
      <c r="I35" s="122"/>
      <c r="J35" s="124"/>
      <c r="K35" s="96"/>
      <c r="P35" s="115"/>
      <c r="Q35" s="40"/>
    </row>
    <row r="36" spans="3:17" ht="18.75" customHeight="1">
      <c r="K36" s="114"/>
      <c r="P36" s="115"/>
      <c r="Q36" s="40"/>
    </row>
    <row r="37" spans="3:17" ht="18.75" customHeight="1">
      <c r="H37" s="119" t="s">
        <v>3668</v>
      </c>
      <c r="I37" s="120"/>
      <c r="J37" s="125" t="s">
        <v>162</v>
      </c>
      <c r="L37" s="41"/>
      <c r="P37" s="115"/>
      <c r="Q37" s="40"/>
    </row>
    <row r="38" spans="3:17" ht="18.75" customHeight="1">
      <c r="H38" s="121"/>
      <c r="I38" s="122"/>
      <c r="J38" s="126"/>
      <c r="K38" s="37"/>
      <c r="P38" s="115"/>
      <c r="Q38" s="40"/>
    </row>
    <row r="39" spans="3:17" ht="18.75" customHeight="1">
      <c r="P39" s="115"/>
      <c r="Q39" s="40"/>
    </row>
    <row r="40" spans="3:17" ht="18.75" customHeight="1">
      <c r="C40" s="119" t="s">
        <v>178</v>
      </c>
      <c r="D40" s="120"/>
      <c r="E40" s="123" t="str">
        <f>エンティティ一覧!$O$2</f>
        <v>milscm_2023_009</v>
      </c>
      <c r="G40" s="36"/>
      <c r="H40" s="36"/>
      <c r="I40" s="36"/>
      <c r="J40" s="36"/>
      <c r="K40" s="107"/>
      <c r="L40" s="107"/>
      <c r="M40" s="36"/>
      <c r="N40" s="36"/>
      <c r="O40" s="36"/>
      <c r="P40" s="115"/>
      <c r="Q40" s="40"/>
    </row>
    <row r="41" spans="3:17" ht="18.75" customHeight="1">
      <c r="C41" s="121"/>
      <c r="D41" s="122"/>
      <c r="E41" s="124"/>
      <c r="F41" s="37"/>
      <c r="K41" s="101"/>
      <c r="L41" s="101"/>
      <c r="P41" s="39"/>
      <c r="Q41" s="40"/>
    </row>
    <row r="42" spans="3:17" ht="18.75" customHeight="1">
      <c r="K42" s="101"/>
      <c r="L42" s="101"/>
      <c r="P42" s="39"/>
      <c r="Q42" s="40"/>
    </row>
    <row r="43" spans="3:17" ht="18.75" customHeight="1">
      <c r="H43" s="119" t="s">
        <v>3734</v>
      </c>
      <c r="I43" s="120"/>
      <c r="J43" s="123" t="str">
        <f>エンティティ一覧!$O$2</f>
        <v>milscm_2023_009</v>
      </c>
      <c r="M43" s="36"/>
      <c r="N43" s="36"/>
      <c r="O43" s="36"/>
      <c r="Q43" s="41"/>
    </row>
    <row r="44" spans="3:17" ht="18.75" customHeight="1">
      <c r="H44" s="121"/>
      <c r="I44" s="122"/>
      <c r="J44" s="124"/>
      <c r="K44" s="37"/>
      <c r="L44" s="38"/>
      <c r="M44" s="37"/>
      <c r="N44" s="37"/>
      <c r="O44" s="37"/>
      <c r="P44" s="37"/>
    </row>
    <row r="45" spans="3:17" ht="18.75" customHeight="1">
      <c r="K45" s="39"/>
      <c r="L45" s="40"/>
    </row>
    <row r="46" spans="3:17" ht="18.75" customHeight="1">
      <c r="H46" s="119" t="s">
        <v>187</v>
      </c>
      <c r="I46" s="120"/>
      <c r="J46" s="123" t="str">
        <f>エンティティ一覧!$O$2</f>
        <v>milscm_2023_009</v>
      </c>
      <c r="L46" s="41"/>
    </row>
    <row r="47" spans="3:17" ht="18.75" customHeight="1">
      <c r="H47" s="121"/>
      <c r="I47" s="122"/>
      <c r="J47" s="124"/>
      <c r="K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4154</v>
      </c>
      <c r="D51" s="113"/>
      <c r="W51" s="35" t="str">
        <f>"-- "&amp;B51&amp;" : "&amp;C51</f>
        <v>-- SQL_ID : 41_03</v>
      </c>
    </row>
    <row r="52" spans="2:23" ht="18.75" customHeight="1">
      <c r="B52" s="43" t="s">
        <v>158</v>
      </c>
      <c r="C52" s="127" t="str">
        <f>R55&amp;"登録"</f>
        <v>ワーク_入院退院_DPC登録</v>
      </c>
      <c r="D52" s="128"/>
      <c r="E52" s="128"/>
      <c r="F52" s="128"/>
      <c r="G52" s="128"/>
      <c r="H52" s="128"/>
      <c r="I52" s="128"/>
      <c r="J52" s="128"/>
      <c r="K52" s="128"/>
      <c r="L52" s="128"/>
      <c r="M52" s="128"/>
      <c r="N52" s="128"/>
      <c r="O52" s="128"/>
      <c r="P52" s="128"/>
      <c r="Q52" s="128"/>
      <c r="R52" s="128"/>
      <c r="S52" s="128"/>
      <c r="T52" s="128"/>
      <c r="U52" s="129"/>
      <c r="W52" s="35" t="str">
        <f>"-- "&amp;C52</f>
        <v>-- ワーク_入院退院_DPC登録</v>
      </c>
    </row>
    <row r="53" spans="2:23" ht="18.75" customHeight="1">
      <c r="B53" s="43" t="s">
        <v>159</v>
      </c>
      <c r="C53" s="130" t="str">
        <f>"DPCの患者データを抽出し、"&amp;R55&amp;"テーブルに格納する。"</f>
        <v>DPCの患者データを抽出し、ワーク_入院退院_DPCテーブルに格納する。</v>
      </c>
      <c r="D53" s="131"/>
      <c r="E53" s="131"/>
      <c r="F53" s="131"/>
      <c r="G53" s="131"/>
      <c r="H53" s="131"/>
      <c r="I53" s="131"/>
      <c r="J53" s="131"/>
      <c r="K53" s="131"/>
      <c r="L53" s="131"/>
      <c r="M53" s="131"/>
      <c r="N53" s="131"/>
      <c r="O53" s="131"/>
      <c r="P53" s="131"/>
      <c r="Q53" s="131"/>
      <c r="R53" s="131"/>
      <c r="S53" s="131"/>
      <c r="T53" s="131"/>
      <c r="U53" s="132"/>
      <c r="W53" s="35" t="str">
        <f>"-- "&amp;C53</f>
        <v>-- DPCの患者データを抽出し、ワーク_入院退院_DPCテーブルに格納する。</v>
      </c>
    </row>
    <row r="55" spans="2:23" ht="18.75" customHeight="1">
      <c r="C55" s="119" t="s">
        <v>3695</v>
      </c>
      <c r="D55" s="120"/>
      <c r="E55" s="123" t="str">
        <f>エンティティ一覧!$O$2</f>
        <v>milscm_2023_009</v>
      </c>
      <c r="F55" s="36"/>
      <c r="G55" s="36"/>
      <c r="H55" s="36"/>
      <c r="I55" s="36"/>
      <c r="J55" s="36"/>
      <c r="M55" s="36"/>
      <c r="N55" s="36"/>
      <c r="O55" s="36"/>
      <c r="R55" s="119" t="s">
        <v>4130</v>
      </c>
      <c r="S55" s="120"/>
      <c r="T55" s="123" t="str">
        <f>エンティティ一覧!$O$2</f>
        <v>milscm_2023_009</v>
      </c>
    </row>
    <row r="56" spans="2:23" ht="18.75" customHeight="1">
      <c r="C56" s="121"/>
      <c r="D56" s="122"/>
      <c r="E56" s="124"/>
      <c r="F56" s="37"/>
      <c r="G56" s="37"/>
      <c r="H56" s="37"/>
      <c r="I56" s="37"/>
      <c r="J56" s="37"/>
      <c r="K56" s="37"/>
      <c r="L56" s="38"/>
      <c r="M56" s="37"/>
      <c r="N56" s="37"/>
      <c r="O56" s="37"/>
      <c r="P56" s="37"/>
      <c r="Q56" s="38"/>
      <c r="R56" s="121"/>
      <c r="S56" s="122"/>
      <c r="T56" s="124"/>
    </row>
    <row r="57" spans="2:23" ht="18.75" customHeight="1">
      <c r="K57" s="39"/>
      <c r="L57" s="40"/>
      <c r="P57" s="39"/>
      <c r="Q57" s="40"/>
    </row>
    <row r="58" spans="2:23" ht="18.75" customHeight="1">
      <c r="C58" s="119" t="s">
        <v>311</v>
      </c>
      <c r="D58" s="120"/>
      <c r="E58" s="123" t="str">
        <f>エンティティ一覧!$O$2</f>
        <v>milscm_2023_009</v>
      </c>
      <c r="F58" s="36"/>
      <c r="G58" s="36"/>
      <c r="H58" s="36"/>
      <c r="I58" s="36"/>
      <c r="J58" s="36"/>
      <c r="L58" s="41"/>
      <c r="Q58" s="41"/>
    </row>
    <row r="59" spans="2:23" ht="18.75" customHeight="1">
      <c r="C59" s="121"/>
      <c r="D59" s="122"/>
      <c r="E59" s="124"/>
      <c r="F59" s="37"/>
      <c r="G59" s="37"/>
      <c r="H59" s="37"/>
      <c r="I59" s="37"/>
      <c r="J59" s="37"/>
      <c r="K59" s="37"/>
      <c r="Q59" s="41"/>
    </row>
    <row r="60" spans="2:23" ht="18.75" customHeight="1">
      <c r="P60" s="39"/>
      <c r="Q60" s="40"/>
    </row>
    <row r="61" spans="2:23" ht="18.75" customHeight="1">
      <c r="H61" s="119" t="s">
        <v>3734</v>
      </c>
      <c r="I61" s="120"/>
      <c r="J61" s="123" t="str">
        <f>エンティティ一覧!$O$2</f>
        <v>milscm_2023_009</v>
      </c>
      <c r="M61" s="36"/>
      <c r="N61" s="36"/>
      <c r="O61" s="36"/>
      <c r="Q61" s="41"/>
    </row>
    <row r="62" spans="2:23" ht="18.75" customHeight="1">
      <c r="H62" s="121"/>
      <c r="I62" s="122"/>
      <c r="J62" s="124"/>
      <c r="K62" s="37"/>
      <c r="L62" s="38"/>
      <c r="M62" s="37"/>
      <c r="N62" s="37"/>
      <c r="O62" s="37"/>
      <c r="P62" s="37"/>
    </row>
    <row r="63" spans="2:23" ht="18.75" customHeight="1">
      <c r="K63" s="39"/>
      <c r="L63" s="40"/>
    </row>
    <row r="64" spans="2:23" ht="18.75" customHeight="1">
      <c r="H64" s="119" t="s">
        <v>187</v>
      </c>
      <c r="I64" s="120"/>
      <c r="J64" s="123" t="str">
        <f>エンティティ一覧!$O$2</f>
        <v>milscm_2023_009</v>
      </c>
      <c r="L64" s="41"/>
    </row>
    <row r="65" spans="2:23" ht="18.75" customHeight="1">
      <c r="H65" s="121"/>
      <c r="I65" s="122"/>
      <c r="J65" s="124"/>
      <c r="K65" s="37"/>
    </row>
    <row r="67" spans="2:23" ht="18.75" customHeight="1" thickBot="1">
      <c r="B67" s="42"/>
      <c r="C67" s="42"/>
      <c r="D67" s="42"/>
      <c r="E67" s="42"/>
      <c r="F67" s="42"/>
      <c r="G67" s="42"/>
      <c r="H67" s="42"/>
      <c r="I67" s="42"/>
      <c r="J67" s="42"/>
      <c r="K67" s="42"/>
      <c r="L67" s="42"/>
      <c r="M67" s="42"/>
      <c r="N67" s="42"/>
      <c r="O67" s="42"/>
      <c r="P67" s="42"/>
      <c r="Q67" s="42"/>
      <c r="R67" s="42"/>
      <c r="S67" s="42"/>
      <c r="T67" s="42"/>
      <c r="U67" s="42"/>
    </row>
    <row r="69" spans="2:23" ht="18.75" customHeight="1">
      <c r="B69" s="43" t="s">
        <v>163</v>
      </c>
      <c r="C69" s="51" t="s">
        <v>4156</v>
      </c>
      <c r="D69" s="113"/>
      <c r="W69" s="35" t="str">
        <f>"-- "&amp;B69&amp;" : "&amp;C69</f>
        <v>-- SQL_ID : 41_04</v>
      </c>
    </row>
    <row r="70" spans="2:23" ht="18.75" customHeight="1">
      <c r="B70" s="43" t="s">
        <v>158</v>
      </c>
      <c r="C70" s="127" t="str">
        <f>R73&amp;"登録"</f>
        <v>ワーク_入院退院_MML登録</v>
      </c>
      <c r="D70" s="128"/>
      <c r="E70" s="128"/>
      <c r="F70" s="128"/>
      <c r="G70" s="128"/>
      <c r="H70" s="128"/>
      <c r="I70" s="128"/>
      <c r="J70" s="128"/>
      <c r="K70" s="128"/>
      <c r="L70" s="128"/>
      <c r="M70" s="128"/>
      <c r="N70" s="128"/>
      <c r="O70" s="128"/>
      <c r="P70" s="128"/>
      <c r="Q70" s="128"/>
      <c r="R70" s="128"/>
      <c r="S70" s="128"/>
      <c r="T70" s="128"/>
      <c r="U70" s="129"/>
      <c r="W70" s="35" t="str">
        <f>"-- "&amp;C70</f>
        <v>-- ワーク_入院退院_MML登録</v>
      </c>
    </row>
    <row r="71" spans="2:23" ht="18.75" customHeight="1">
      <c r="B71" s="43" t="s">
        <v>159</v>
      </c>
      <c r="C71" s="130" t="str">
        <f>"MMLの患者データを抽出し、"&amp;R73&amp;"テーブルに格納する。"</f>
        <v>MMLの患者データを抽出し、ワーク_入院退院_MMLテーブルに格納する。</v>
      </c>
      <c r="D71" s="131"/>
      <c r="E71" s="131"/>
      <c r="F71" s="131"/>
      <c r="G71" s="131"/>
      <c r="H71" s="131"/>
      <c r="I71" s="131"/>
      <c r="J71" s="131"/>
      <c r="K71" s="131"/>
      <c r="L71" s="131"/>
      <c r="M71" s="131"/>
      <c r="N71" s="131"/>
      <c r="O71" s="131"/>
      <c r="P71" s="131"/>
      <c r="Q71" s="131"/>
      <c r="R71" s="131"/>
      <c r="S71" s="131"/>
      <c r="T71" s="131"/>
      <c r="U71" s="132"/>
      <c r="W71" s="35" t="str">
        <f>"-- "&amp;C71</f>
        <v>-- MMLの患者データを抽出し、ワーク_入院退院_MMLテーブルに格納する。</v>
      </c>
    </row>
    <row r="73" spans="2:23" ht="18.75" customHeight="1">
      <c r="C73" s="119" t="s">
        <v>3687</v>
      </c>
      <c r="D73" s="120"/>
      <c r="E73" s="123" t="str">
        <f>エンティティ一覧!$O$2</f>
        <v>milscm_2023_009</v>
      </c>
      <c r="F73" s="36"/>
      <c r="G73" s="36"/>
      <c r="H73" s="36"/>
      <c r="I73" s="36"/>
      <c r="J73" s="36"/>
      <c r="K73" s="36"/>
      <c r="L73" s="36"/>
      <c r="M73" s="36"/>
      <c r="N73" s="36"/>
      <c r="O73" s="36"/>
      <c r="R73" s="119" t="s">
        <v>4132</v>
      </c>
      <c r="S73" s="120"/>
      <c r="T73" s="123" t="str">
        <f>エンティティ一覧!$O$2</f>
        <v>milscm_2023_009</v>
      </c>
    </row>
    <row r="74" spans="2:23" ht="18.75" customHeight="1">
      <c r="C74" s="121"/>
      <c r="D74" s="122"/>
      <c r="E74" s="124"/>
      <c r="F74" s="37"/>
      <c r="G74" s="37"/>
      <c r="H74" s="37"/>
      <c r="I74" s="37"/>
      <c r="J74" s="37"/>
      <c r="K74" s="37"/>
      <c r="L74" s="37"/>
      <c r="M74" s="37"/>
      <c r="N74" s="37"/>
      <c r="O74" s="37"/>
      <c r="P74" s="37"/>
      <c r="Q74" s="38"/>
      <c r="R74" s="121"/>
      <c r="S74" s="122"/>
      <c r="T74" s="124"/>
    </row>
    <row r="75" spans="2:23" ht="18.75" customHeight="1">
      <c r="P75" s="39"/>
      <c r="Q75" s="40"/>
    </row>
    <row r="76" spans="2:23" ht="18.75" customHeight="1">
      <c r="H76" s="119" t="s">
        <v>3734</v>
      </c>
      <c r="I76" s="120"/>
      <c r="J76" s="123" t="str">
        <f>エンティティ一覧!$O$2</f>
        <v>milscm_2023_009</v>
      </c>
      <c r="M76" s="36"/>
      <c r="N76" s="36"/>
      <c r="O76" s="36"/>
      <c r="Q76" s="41"/>
    </row>
    <row r="77" spans="2:23" ht="18.75" customHeight="1">
      <c r="H77" s="121"/>
      <c r="I77" s="122"/>
      <c r="J77" s="124"/>
      <c r="K77" s="37"/>
      <c r="L77" s="38"/>
      <c r="M77" s="37"/>
      <c r="N77" s="37"/>
      <c r="O77" s="37"/>
      <c r="P77" s="37"/>
    </row>
    <row r="78" spans="2:23" ht="18.75" customHeight="1">
      <c r="K78" s="39"/>
      <c r="L78" s="40"/>
    </row>
    <row r="79" spans="2:23" ht="18.75" customHeight="1">
      <c r="H79" s="119" t="s">
        <v>187</v>
      </c>
      <c r="I79" s="120"/>
      <c r="J79" s="123" t="str">
        <f>エンティティ一覧!$O$2</f>
        <v>milscm_2023_009</v>
      </c>
      <c r="L79" s="41"/>
    </row>
    <row r="80" spans="2:23" ht="18.75" customHeight="1">
      <c r="H80" s="121"/>
      <c r="I80" s="122"/>
      <c r="J80" s="124"/>
      <c r="K80" s="37"/>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4157</v>
      </c>
      <c r="D84" s="113"/>
      <c r="W84" s="35" t="str">
        <f>"-- "&amp;B84&amp;" : "&amp;C84</f>
        <v>-- SQL_ID : 41_05</v>
      </c>
    </row>
    <row r="85" spans="2:23" ht="18.75" customHeight="1">
      <c r="B85" s="43" t="s">
        <v>158</v>
      </c>
      <c r="C85" s="127" t="str">
        <f>R88&amp;"登録"</f>
        <v>ワーク_入院退院登録</v>
      </c>
      <c r="D85" s="128"/>
      <c r="E85" s="128"/>
      <c r="F85" s="128"/>
      <c r="G85" s="128"/>
      <c r="H85" s="128"/>
      <c r="I85" s="128"/>
      <c r="J85" s="128"/>
      <c r="K85" s="128"/>
      <c r="L85" s="128"/>
      <c r="M85" s="128"/>
      <c r="N85" s="128"/>
      <c r="O85" s="128"/>
      <c r="P85" s="128"/>
      <c r="Q85" s="128"/>
      <c r="R85" s="128"/>
      <c r="S85" s="128"/>
      <c r="T85" s="128"/>
      <c r="U85" s="129"/>
      <c r="W85" s="35" t="str">
        <f>"-- "&amp;C85</f>
        <v>-- ワーク_入院退院登録</v>
      </c>
    </row>
    <row r="86" spans="2:23" ht="18.75" customHeight="1">
      <c r="B86" s="43" t="s">
        <v>159</v>
      </c>
      <c r="C86" s="130" t="str">
        <f>"DPC、MMLの入院退院データを抽出し、"&amp;R88&amp;"テーブルに格納する。"</f>
        <v>DPC、MMLの入院退院データを抽出し、ワーク_入院退院テーブルに格納する。</v>
      </c>
      <c r="D86" s="131"/>
      <c r="E86" s="131"/>
      <c r="F86" s="131"/>
      <c r="G86" s="131"/>
      <c r="H86" s="131"/>
      <c r="I86" s="131"/>
      <c r="J86" s="131"/>
      <c r="K86" s="131"/>
      <c r="L86" s="131"/>
      <c r="M86" s="131"/>
      <c r="N86" s="131"/>
      <c r="O86" s="131"/>
      <c r="P86" s="131"/>
      <c r="Q86" s="131"/>
      <c r="R86" s="131"/>
      <c r="S86" s="131"/>
      <c r="T86" s="131"/>
      <c r="U86" s="132"/>
      <c r="W86" s="35" t="str">
        <f>"-- "&amp;C86</f>
        <v>-- DPC、MMLの入院退院データを抽出し、ワーク_入院退院テーブルに格納する。</v>
      </c>
    </row>
    <row r="88" spans="2:23" ht="18.75" customHeight="1">
      <c r="C88" s="119" t="s">
        <v>4130</v>
      </c>
      <c r="D88" s="120"/>
      <c r="E88" s="123" t="str">
        <f>エンティティ一覧!$O$2</f>
        <v>milscm_2023_009</v>
      </c>
      <c r="H88" s="36"/>
      <c r="I88" s="36"/>
      <c r="J88" s="36"/>
      <c r="K88" s="36"/>
      <c r="L88" s="36"/>
      <c r="M88" s="36"/>
      <c r="N88" s="36"/>
      <c r="O88" s="36"/>
      <c r="P88" s="36"/>
      <c r="Q88" s="36"/>
      <c r="R88" s="119" t="s">
        <v>4134</v>
      </c>
      <c r="S88" s="120"/>
      <c r="T88" s="123" t="str">
        <f>エンティティ一覧!$O$2</f>
        <v>milscm_2023_009</v>
      </c>
    </row>
    <row r="89" spans="2:23" ht="18.75" customHeight="1">
      <c r="C89" s="121"/>
      <c r="D89" s="122"/>
      <c r="E89" s="124"/>
      <c r="F89" s="37"/>
      <c r="G89" s="38"/>
      <c r="H89" s="37"/>
      <c r="I89" s="37"/>
      <c r="J89" s="37"/>
      <c r="K89" s="37"/>
      <c r="L89" s="37"/>
      <c r="M89" s="37"/>
      <c r="N89" s="37"/>
      <c r="O89" s="37"/>
      <c r="P89" s="37"/>
      <c r="Q89" s="37"/>
      <c r="R89" s="121"/>
      <c r="S89" s="122"/>
      <c r="T89" s="124"/>
    </row>
    <row r="90" spans="2:23" ht="18.75" customHeight="1">
      <c r="F90" s="39"/>
      <c r="G90" s="40"/>
    </row>
    <row r="91" spans="2:23" ht="18.75" customHeight="1">
      <c r="C91" s="119" t="s">
        <v>4135</v>
      </c>
      <c r="D91" s="120"/>
      <c r="E91" s="123" t="str">
        <f>エンティティ一覧!$O$2</f>
        <v>milscm_2023_009</v>
      </c>
      <c r="G91" s="41"/>
    </row>
    <row r="92" spans="2:23" ht="18.75" customHeight="1">
      <c r="C92" s="121"/>
      <c r="D92" s="122"/>
      <c r="E92" s="124"/>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4129</v>
      </c>
      <c r="D96" s="113"/>
      <c r="W96" s="35" t="str">
        <f>"-- "&amp;B96&amp;" : "&amp;C96</f>
        <v>-- SQL_ID : 41_06</v>
      </c>
    </row>
    <row r="97" spans="2:23" ht="18.75" customHeight="1">
      <c r="B97" s="43" t="s">
        <v>158</v>
      </c>
      <c r="C97" s="127" t="str">
        <f>R100&amp;"登録"</f>
        <v>ワーク_外来_DPC登録</v>
      </c>
      <c r="D97" s="128"/>
      <c r="E97" s="128"/>
      <c r="F97" s="128"/>
      <c r="G97" s="128"/>
      <c r="H97" s="128"/>
      <c r="I97" s="128"/>
      <c r="J97" s="128"/>
      <c r="K97" s="128"/>
      <c r="L97" s="128"/>
      <c r="M97" s="128"/>
      <c r="N97" s="128"/>
      <c r="O97" s="128"/>
      <c r="P97" s="128"/>
      <c r="Q97" s="128"/>
      <c r="R97" s="128"/>
      <c r="S97" s="128"/>
      <c r="T97" s="128"/>
      <c r="U97" s="129"/>
      <c r="W97" s="35" t="str">
        <f>"-- "&amp;C97</f>
        <v>-- ワーク_外来_DPC登録</v>
      </c>
    </row>
    <row r="98" spans="2:23" ht="18.75" customHeight="1">
      <c r="B98" s="43" t="s">
        <v>159</v>
      </c>
      <c r="C98" s="130" t="str">
        <f>"DPCの患者データを抽出し、"&amp;R100&amp;"テーブルに格納する。"</f>
        <v>DPCの患者データを抽出し、ワーク_外来_DPCテーブルに格納する。</v>
      </c>
      <c r="D98" s="131"/>
      <c r="E98" s="131"/>
      <c r="F98" s="131"/>
      <c r="G98" s="131"/>
      <c r="H98" s="131"/>
      <c r="I98" s="131"/>
      <c r="J98" s="131"/>
      <c r="K98" s="131"/>
      <c r="L98" s="131"/>
      <c r="M98" s="131"/>
      <c r="N98" s="131"/>
      <c r="O98" s="131"/>
      <c r="P98" s="131"/>
      <c r="Q98" s="131"/>
      <c r="R98" s="131"/>
      <c r="S98" s="131"/>
      <c r="T98" s="131"/>
      <c r="U98" s="132"/>
      <c r="W98" s="35" t="str">
        <f>"-- "&amp;C98</f>
        <v>-- DPCの患者データを抽出し、ワーク_外来_DPCテーブルに格納する。</v>
      </c>
    </row>
    <row r="100" spans="2:23" ht="18.75" customHeight="1">
      <c r="C100" s="119" t="s">
        <v>310</v>
      </c>
      <c r="D100" s="120"/>
      <c r="E100" s="123" t="str">
        <f>エンティティ一覧!$O$2</f>
        <v>milscm_2023_009</v>
      </c>
      <c r="F100" s="36"/>
      <c r="G100" s="36"/>
      <c r="H100" s="36"/>
      <c r="I100" s="36"/>
      <c r="J100" s="36"/>
      <c r="K100" s="36"/>
      <c r="L100" s="36"/>
      <c r="M100" s="36"/>
      <c r="N100" s="36"/>
      <c r="O100" s="36"/>
      <c r="R100" s="119" t="s">
        <v>4137</v>
      </c>
      <c r="S100" s="120"/>
      <c r="T100" s="123" t="str">
        <f>エンティティ一覧!$O$2</f>
        <v>milscm_2023_009</v>
      </c>
    </row>
    <row r="101" spans="2:23" ht="18.75" customHeight="1">
      <c r="C101" s="121"/>
      <c r="D101" s="122"/>
      <c r="E101" s="124"/>
      <c r="F101" s="37"/>
      <c r="G101" s="37"/>
      <c r="H101" s="37"/>
      <c r="I101" s="37"/>
      <c r="J101" s="37"/>
      <c r="K101" s="37"/>
      <c r="L101" s="37"/>
      <c r="M101" s="37"/>
      <c r="N101" s="37"/>
      <c r="O101" s="37"/>
      <c r="P101" s="37"/>
      <c r="Q101" s="38"/>
      <c r="R101" s="121"/>
      <c r="S101" s="122"/>
      <c r="T101" s="124"/>
    </row>
    <row r="102" spans="2:23" ht="18.75" customHeight="1">
      <c r="P102" s="39"/>
      <c r="Q102" s="40"/>
    </row>
    <row r="103" spans="2:23" ht="18.75" customHeight="1">
      <c r="H103" s="119" t="s">
        <v>3734</v>
      </c>
      <c r="I103" s="120"/>
      <c r="J103" s="123" t="str">
        <f>エンティティ一覧!$O$2</f>
        <v>milscm_2023_009</v>
      </c>
      <c r="M103" s="36"/>
      <c r="N103" s="36"/>
      <c r="O103" s="36"/>
      <c r="Q103" s="41"/>
    </row>
    <row r="104" spans="2:23" ht="18.75" customHeight="1">
      <c r="H104" s="121"/>
      <c r="I104" s="122"/>
      <c r="J104" s="124"/>
      <c r="K104" s="37"/>
      <c r="L104" s="38"/>
      <c r="M104" s="37"/>
      <c r="N104" s="37"/>
      <c r="O104" s="37"/>
      <c r="P104" s="37"/>
    </row>
    <row r="105" spans="2:23" ht="18.75" customHeight="1">
      <c r="K105" s="39"/>
      <c r="L105" s="40"/>
    </row>
    <row r="106" spans="2:23" ht="18.75" customHeight="1">
      <c r="H106" s="119" t="s">
        <v>187</v>
      </c>
      <c r="I106" s="120"/>
      <c r="J106" s="123" t="str">
        <f>エンティティ一覧!$O$2</f>
        <v>milscm_2023_009</v>
      </c>
      <c r="L106" s="41"/>
    </row>
    <row r="107" spans="2:23" ht="18.75" customHeight="1">
      <c r="H107" s="121"/>
      <c r="I107" s="122"/>
      <c r="J107" s="124"/>
      <c r="K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4131</v>
      </c>
      <c r="D111" s="113"/>
      <c r="W111" s="35" t="str">
        <f>"-- "&amp;B111&amp;" : "&amp;C111</f>
        <v>-- SQL_ID : 41_07</v>
      </c>
    </row>
    <row r="112" spans="2:23" ht="18.75" customHeight="1">
      <c r="B112" s="43" t="s">
        <v>158</v>
      </c>
      <c r="C112" s="127" t="str">
        <f>R115&amp;"登録"</f>
        <v>ワーク_外来_MML登録</v>
      </c>
      <c r="D112" s="128"/>
      <c r="E112" s="128"/>
      <c r="F112" s="128"/>
      <c r="G112" s="128"/>
      <c r="H112" s="128"/>
      <c r="I112" s="128"/>
      <c r="J112" s="128"/>
      <c r="K112" s="128"/>
      <c r="L112" s="128"/>
      <c r="M112" s="128"/>
      <c r="N112" s="128"/>
      <c r="O112" s="128"/>
      <c r="P112" s="128"/>
      <c r="Q112" s="128"/>
      <c r="R112" s="128"/>
      <c r="S112" s="128"/>
      <c r="T112" s="128"/>
      <c r="U112" s="129"/>
      <c r="W112" s="35" t="str">
        <f>"-- "&amp;C112</f>
        <v>-- ワーク_外来_MML登録</v>
      </c>
    </row>
    <row r="113" spans="2:23" ht="18.75" customHeight="1">
      <c r="B113" s="43" t="s">
        <v>159</v>
      </c>
      <c r="C113" s="130" t="str">
        <f>"MMLの患者データを抽出し、"&amp;R115&amp;"テーブルに格納する。"</f>
        <v>MMLの患者データを抽出し、ワーク_外来_MMLテーブルに格納する。</v>
      </c>
      <c r="D113" s="131"/>
      <c r="E113" s="131"/>
      <c r="F113" s="131"/>
      <c r="G113" s="131"/>
      <c r="H113" s="131"/>
      <c r="I113" s="131"/>
      <c r="J113" s="131"/>
      <c r="K113" s="131"/>
      <c r="L113" s="131"/>
      <c r="M113" s="131"/>
      <c r="N113" s="131"/>
      <c r="O113" s="131"/>
      <c r="P113" s="131"/>
      <c r="Q113" s="131"/>
      <c r="R113" s="131"/>
      <c r="S113" s="131"/>
      <c r="T113" s="131"/>
      <c r="U113" s="132"/>
      <c r="W113" s="35" t="str">
        <f>"-- "&amp;C113</f>
        <v>-- MMLの患者データを抽出し、ワーク_外来_MMLテーブルに格納する。</v>
      </c>
    </row>
    <row r="115" spans="2:23" ht="18.75" customHeight="1">
      <c r="C115" s="119" t="s">
        <v>3686</v>
      </c>
      <c r="D115" s="120"/>
      <c r="E115" s="123" t="str">
        <f>エンティティ一覧!$O$2</f>
        <v>milscm_2023_009</v>
      </c>
      <c r="F115" s="36"/>
      <c r="G115" s="36"/>
      <c r="H115" s="36"/>
      <c r="I115" s="36"/>
      <c r="J115" s="36"/>
      <c r="K115" s="36"/>
      <c r="L115" s="36"/>
      <c r="M115" s="36"/>
      <c r="N115" s="36"/>
      <c r="O115" s="36"/>
      <c r="R115" s="119" t="s">
        <v>4139</v>
      </c>
      <c r="S115" s="120"/>
      <c r="T115" s="123" t="str">
        <f>エンティティ一覧!$O$2</f>
        <v>milscm_2023_009</v>
      </c>
    </row>
    <row r="116" spans="2:23" ht="18.75" customHeight="1">
      <c r="C116" s="121"/>
      <c r="D116" s="122"/>
      <c r="E116" s="124"/>
      <c r="F116" s="37"/>
      <c r="G116" s="37"/>
      <c r="H116" s="37"/>
      <c r="I116" s="37"/>
      <c r="J116" s="37"/>
      <c r="K116" s="37"/>
      <c r="L116" s="37"/>
      <c r="M116" s="37"/>
      <c r="N116" s="37"/>
      <c r="O116" s="37"/>
      <c r="P116" s="37"/>
      <c r="Q116" s="38"/>
      <c r="R116" s="121"/>
      <c r="S116" s="122"/>
      <c r="T116" s="124"/>
    </row>
    <row r="117" spans="2:23" ht="18.75" customHeight="1">
      <c r="P117" s="39"/>
      <c r="Q117" s="40"/>
    </row>
    <row r="118" spans="2:23" ht="18.75" customHeight="1">
      <c r="H118" s="119" t="s">
        <v>3734</v>
      </c>
      <c r="I118" s="120"/>
      <c r="J118" s="123" t="str">
        <f>エンティティ一覧!$O$2</f>
        <v>milscm_2023_009</v>
      </c>
      <c r="M118" s="36"/>
      <c r="N118" s="36"/>
      <c r="O118" s="36"/>
      <c r="Q118" s="41"/>
    </row>
    <row r="119" spans="2:23" ht="18.75" customHeight="1">
      <c r="H119" s="121"/>
      <c r="I119" s="122"/>
      <c r="J119" s="124"/>
      <c r="K119" s="37"/>
      <c r="L119" s="38"/>
      <c r="M119" s="37"/>
      <c r="N119" s="37"/>
      <c r="O119" s="37"/>
      <c r="P119" s="37"/>
    </row>
    <row r="120" spans="2:23" ht="18.75" customHeight="1">
      <c r="K120" s="39"/>
      <c r="L120" s="40"/>
    </row>
    <row r="121" spans="2:23" ht="18.75" customHeight="1">
      <c r="H121" s="119" t="s">
        <v>187</v>
      </c>
      <c r="I121" s="120"/>
      <c r="J121" s="123" t="str">
        <f>エンティティ一覧!$O$2</f>
        <v>milscm_2023_009</v>
      </c>
      <c r="L121" s="41"/>
    </row>
    <row r="122" spans="2:23" ht="18.75" customHeight="1">
      <c r="H122" s="121"/>
      <c r="I122" s="122"/>
      <c r="J122" s="124"/>
      <c r="K122" s="37"/>
    </row>
    <row r="124" spans="2:23" ht="18.75" customHeight="1" thickBot="1">
      <c r="B124" s="42"/>
      <c r="C124" s="42"/>
      <c r="D124" s="42"/>
      <c r="E124" s="42"/>
      <c r="F124" s="42"/>
      <c r="G124" s="42"/>
      <c r="H124" s="42"/>
      <c r="I124" s="42"/>
      <c r="J124" s="42"/>
      <c r="K124" s="42"/>
      <c r="L124" s="42"/>
      <c r="M124" s="42"/>
      <c r="N124" s="42"/>
      <c r="O124" s="42"/>
      <c r="P124" s="42"/>
      <c r="Q124" s="42"/>
      <c r="R124" s="42"/>
      <c r="S124" s="42"/>
      <c r="T124" s="42"/>
      <c r="U124" s="42"/>
    </row>
    <row r="126" spans="2:23" ht="18.75" customHeight="1">
      <c r="B126" s="43" t="s">
        <v>163</v>
      </c>
      <c r="C126" s="51" t="s">
        <v>4133</v>
      </c>
      <c r="D126" s="113"/>
      <c r="W126" s="35" t="str">
        <f>"-- "&amp;B126&amp;" : "&amp;C126</f>
        <v>-- SQL_ID : 41_08</v>
      </c>
    </row>
    <row r="127" spans="2:23" ht="18.75" customHeight="1">
      <c r="B127" s="43" t="s">
        <v>158</v>
      </c>
      <c r="C127" s="127" t="str">
        <f>R130&amp;"登録"</f>
        <v>ワーク_外来登録</v>
      </c>
      <c r="D127" s="128"/>
      <c r="E127" s="128"/>
      <c r="F127" s="128"/>
      <c r="G127" s="128"/>
      <c r="H127" s="128"/>
      <c r="I127" s="128"/>
      <c r="J127" s="128"/>
      <c r="K127" s="128"/>
      <c r="L127" s="128"/>
      <c r="M127" s="128"/>
      <c r="N127" s="128"/>
      <c r="O127" s="128"/>
      <c r="P127" s="128"/>
      <c r="Q127" s="128"/>
      <c r="R127" s="128"/>
      <c r="S127" s="128"/>
      <c r="T127" s="128"/>
      <c r="U127" s="129"/>
      <c r="W127" s="35" t="str">
        <f>"-- "&amp;C127</f>
        <v>-- ワーク_外来登録</v>
      </c>
    </row>
    <row r="128" spans="2:23" ht="18.75" customHeight="1">
      <c r="B128" s="43" t="s">
        <v>159</v>
      </c>
      <c r="C128" s="130" t="str">
        <f>"DPC、MMLの外来データを抽出し、"&amp;R130&amp;"テーブルに格納する。"</f>
        <v>DPC、MMLの外来データを抽出し、ワーク_外来テーブルに格納する。</v>
      </c>
      <c r="D128" s="131"/>
      <c r="E128" s="131"/>
      <c r="F128" s="131"/>
      <c r="G128" s="131"/>
      <c r="H128" s="131"/>
      <c r="I128" s="131"/>
      <c r="J128" s="131"/>
      <c r="K128" s="131"/>
      <c r="L128" s="131"/>
      <c r="M128" s="131"/>
      <c r="N128" s="131"/>
      <c r="O128" s="131"/>
      <c r="P128" s="131"/>
      <c r="Q128" s="131"/>
      <c r="R128" s="131"/>
      <c r="S128" s="131"/>
      <c r="T128" s="131"/>
      <c r="U128" s="132"/>
      <c r="W128" s="35" t="str">
        <f>"-- "&amp;C128</f>
        <v>-- DPC、MMLの外来データを抽出し、ワーク_外来テーブルに格納する。</v>
      </c>
    </row>
    <row r="130" spans="2:23" ht="18.75" customHeight="1">
      <c r="C130" s="119" t="s">
        <v>4137</v>
      </c>
      <c r="D130" s="120"/>
      <c r="E130" s="123" t="str">
        <f>エンティティ一覧!$O$2</f>
        <v>milscm_2023_009</v>
      </c>
      <c r="H130" s="36"/>
      <c r="I130" s="36"/>
      <c r="J130" s="36"/>
      <c r="K130" s="36"/>
      <c r="L130" s="36"/>
      <c r="M130" s="36"/>
      <c r="N130" s="36"/>
      <c r="O130" s="36"/>
      <c r="P130" s="36"/>
      <c r="Q130" s="36"/>
      <c r="R130" s="119" t="s">
        <v>4141</v>
      </c>
      <c r="S130" s="120"/>
      <c r="T130" s="123" t="str">
        <f>エンティティ一覧!$O$2</f>
        <v>milscm_2023_009</v>
      </c>
    </row>
    <row r="131" spans="2:23" ht="18.75" customHeight="1">
      <c r="C131" s="121"/>
      <c r="D131" s="122"/>
      <c r="E131" s="124"/>
      <c r="F131" s="37"/>
      <c r="G131" s="38"/>
      <c r="H131" s="37"/>
      <c r="I131" s="37"/>
      <c r="J131" s="37"/>
      <c r="K131" s="37"/>
      <c r="L131" s="37"/>
      <c r="M131" s="37"/>
      <c r="N131" s="37"/>
      <c r="O131" s="37"/>
      <c r="P131" s="37"/>
      <c r="Q131" s="37"/>
      <c r="R131" s="121"/>
      <c r="S131" s="122"/>
      <c r="T131" s="124"/>
    </row>
    <row r="132" spans="2:23" ht="18.75" customHeight="1">
      <c r="F132" s="39"/>
      <c r="G132" s="40"/>
    </row>
    <row r="133" spans="2:23" ht="18.75" customHeight="1">
      <c r="C133" s="119" t="s">
        <v>4139</v>
      </c>
      <c r="D133" s="120"/>
      <c r="E133" s="123" t="str">
        <f>エンティティ一覧!$O$2</f>
        <v>milscm_2023_009</v>
      </c>
      <c r="G133" s="41"/>
    </row>
    <row r="134" spans="2:23" ht="18.75" customHeight="1">
      <c r="C134" s="121"/>
      <c r="D134" s="122"/>
      <c r="E134" s="124"/>
      <c r="F134" s="37"/>
    </row>
    <row r="136" spans="2:23" ht="18.75" customHeight="1" thickBot="1">
      <c r="B136" s="42"/>
      <c r="C136" s="42"/>
      <c r="D136" s="42"/>
      <c r="E136" s="42"/>
      <c r="F136" s="42"/>
      <c r="G136" s="42"/>
      <c r="H136" s="42"/>
      <c r="I136" s="42"/>
      <c r="J136" s="42"/>
      <c r="K136" s="42"/>
      <c r="L136" s="42"/>
      <c r="M136" s="42"/>
      <c r="N136" s="42"/>
      <c r="O136" s="42"/>
      <c r="P136" s="42"/>
      <c r="Q136" s="42"/>
      <c r="R136" s="42"/>
      <c r="S136" s="42"/>
      <c r="T136" s="42"/>
      <c r="U136" s="42"/>
    </row>
    <row r="138" spans="2:23" ht="18.75" customHeight="1">
      <c r="B138" s="43" t="s">
        <v>163</v>
      </c>
      <c r="C138" s="51" t="s">
        <v>4136</v>
      </c>
      <c r="D138" s="113"/>
      <c r="W138" s="35" t="str">
        <f>"-- "&amp;B138&amp;" : "&amp;C138</f>
        <v>-- SQL_ID : 41_09</v>
      </c>
    </row>
    <row r="139" spans="2:23" ht="18.75" customHeight="1">
      <c r="B139" s="43" t="s">
        <v>158</v>
      </c>
      <c r="C139" s="127" t="str">
        <f>R142&amp;"登録"</f>
        <v>ワーク_処方データ登録</v>
      </c>
      <c r="D139" s="128"/>
      <c r="E139" s="128"/>
      <c r="F139" s="128"/>
      <c r="G139" s="128"/>
      <c r="H139" s="128"/>
      <c r="I139" s="128"/>
      <c r="J139" s="128"/>
      <c r="K139" s="128"/>
      <c r="L139" s="128"/>
      <c r="M139" s="128"/>
      <c r="N139" s="128"/>
      <c r="O139" s="128"/>
      <c r="P139" s="128"/>
      <c r="Q139" s="128"/>
      <c r="R139" s="128"/>
      <c r="S139" s="128"/>
      <c r="T139" s="128"/>
      <c r="U139" s="129"/>
      <c r="W139" s="35" t="str">
        <f>"-- "&amp;C139</f>
        <v>-- ワーク_処方データ登録</v>
      </c>
    </row>
    <row r="140" spans="2:23" ht="18.75" customHeight="1">
      <c r="B140" s="43" t="s">
        <v>159</v>
      </c>
      <c r="C140" s="130" t="str">
        <f>"処方データを抽出し、"&amp;R142&amp;"テーブルに格納する。"</f>
        <v>処方データを抽出し、ワーク_処方データテーブルに格納する。</v>
      </c>
      <c r="D140" s="131"/>
      <c r="E140" s="131"/>
      <c r="F140" s="131"/>
      <c r="G140" s="131"/>
      <c r="H140" s="131"/>
      <c r="I140" s="131"/>
      <c r="J140" s="131"/>
      <c r="K140" s="131"/>
      <c r="L140" s="131"/>
      <c r="M140" s="131"/>
      <c r="N140" s="131"/>
      <c r="O140" s="131"/>
      <c r="P140" s="131"/>
      <c r="Q140" s="131"/>
      <c r="R140" s="131"/>
      <c r="S140" s="131"/>
      <c r="T140" s="131"/>
      <c r="U140" s="132"/>
      <c r="W140" s="35" t="str">
        <f>"-- "&amp;C140</f>
        <v>-- 処方データを抽出し、ワーク_処方データテーブルに格納する。</v>
      </c>
    </row>
    <row r="142" spans="2:23" ht="18.75" customHeight="1">
      <c r="C142" s="119" t="s">
        <v>4143</v>
      </c>
      <c r="D142" s="120"/>
      <c r="E142" s="123" t="str">
        <f>エンティティ一覧!$O$2</f>
        <v>milscm_2023_009</v>
      </c>
      <c r="F142" s="36"/>
      <c r="G142" s="36"/>
      <c r="H142" s="36"/>
      <c r="I142" s="36"/>
      <c r="J142" s="36"/>
      <c r="M142" s="36"/>
      <c r="N142" s="36"/>
      <c r="O142" s="36"/>
      <c r="R142" s="119" t="s">
        <v>4155</v>
      </c>
      <c r="S142" s="120"/>
      <c r="T142" s="123" t="str">
        <f>エンティティ一覧!$O$2</f>
        <v>milscm_2023_009</v>
      </c>
    </row>
    <row r="143" spans="2:23" ht="18.75" customHeight="1">
      <c r="C143" s="121"/>
      <c r="D143" s="122"/>
      <c r="E143" s="124"/>
      <c r="F143" s="37"/>
      <c r="G143" s="37"/>
      <c r="H143" s="37"/>
      <c r="I143" s="37"/>
      <c r="J143" s="37"/>
      <c r="K143" s="37"/>
      <c r="L143" s="38"/>
      <c r="M143" s="37"/>
      <c r="N143" s="37"/>
      <c r="O143" s="37"/>
      <c r="P143" s="37"/>
      <c r="Q143" s="38"/>
      <c r="R143" s="121"/>
      <c r="S143" s="122"/>
      <c r="T143" s="124"/>
    </row>
    <row r="144" spans="2:23" ht="18.75" customHeight="1">
      <c r="K144" s="39"/>
      <c r="L144" s="40"/>
      <c r="P144" s="39"/>
      <c r="Q144" s="40"/>
    </row>
    <row r="145" spans="2:23" ht="18.75" customHeight="1">
      <c r="H145" s="119" t="s">
        <v>4089</v>
      </c>
      <c r="I145" s="120"/>
      <c r="J145" s="123" t="str">
        <f>エンティティ一覧!$O$2</f>
        <v>milscm_2023_009</v>
      </c>
      <c r="L145" s="41"/>
      <c r="P145" s="39"/>
      <c r="Q145" s="40"/>
    </row>
    <row r="146" spans="2:23" ht="18.75" customHeight="1">
      <c r="H146" s="121"/>
      <c r="I146" s="122"/>
      <c r="J146" s="124"/>
      <c r="K146" s="37"/>
      <c r="P146" s="39"/>
      <c r="Q146" s="40"/>
    </row>
    <row r="147" spans="2:23" ht="18.75" customHeight="1">
      <c r="P147" s="39"/>
      <c r="Q147" s="40"/>
    </row>
    <row r="148" spans="2:23" ht="18.75" customHeight="1">
      <c r="H148" s="119" t="s">
        <v>3734</v>
      </c>
      <c r="I148" s="120"/>
      <c r="J148" s="123" t="str">
        <f>エンティティ一覧!$O$2</f>
        <v>milscm_2023_009</v>
      </c>
      <c r="M148" s="36"/>
      <c r="N148" s="36"/>
      <c r="O148" s="36"/>
      <c r="Q148" s="41"/>
    </row>
    <row r="149" spans="2:23" ht="18.75" customHeight="1">
      <c r="H149" s="121"/>
      <c r="I149" s="122"/>
      <c r="J149" s="124"/>
      <c r="K149" s="37"/>
      <c r="L149" s="38"/>
      <c r="M149" s="37"/>
      <c r="N149" s="37"/>
      <c r="O149" s="37"/>
      <c r="P149" s="37"/>
    </row>
    <row r="150" spans="2:23" ht="18.75" customHeight="1">
      <c r="K150" s="39"/>
      <c r="L150" s="40"/>
    </row>
    <row r="151" spans="2:23" ht="18.75" customHeight="1">
      <c r="H151" s="119" t="s">
        <v>187</v>
      </c>
      <c r="I151" s="120"/>
      <c r="J151" s="123" t="str">
        <f>エンティティ一覧!$O$2</f>
        <v>milscm_2023_009</v>
      </c>
      <c r="L151" s="41"/>
    </row>
    <row r="152" spans="2:23" ht="18.75" customHeight="1">
      <c r="H152" s="121"/>
      <c r="I152" s="122"/>
      <c r="J152" s="124"/>
      <c r="K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4138</v>
      </c>
      <c r="D156" s="113"/>
      <c r="W156" s="35" t="str">
        <f>"-- "&amp;B156&amp;" : "&amp;C156</f>
        <v>-- SQL_ID : 41_10</v>
      </c>
    </row>
    <row r="157" spans="2:23" ht="18.75" customHeight="1">
      <c r="B157" s="43" t="s">
        <v>158</v>
      </c>
      <c r="C157" s="127" t="str">
        <f>R160&amp;"登録"</f>
        <v>ワーク_診療行為データ登録</v>
      </c>
      <c r="D157" s="128"/>
      <c r="E157" s="128"/>
      <c r="F157" s="128"/>
      <c r="G157" s="128"/>
      <c r="H157" s="128"/>
      <c r="I157" s="128"/>
      <c r="J157" s="128"/>
      <c r="K157" s="128"/>
      <c r="L157" s="128"/>
      <c r="M157" s="128"/>
      <c r="N157" s="128"/>
      <c r="O157" s="128"/>
      <c r="P157" s="128"/>
      <c r="Q157" s="128"/>
      <c r="R157" s="128"/>
      <c r="S157" s="128"/>
      <c r="T157" s="128"/>
      <c r="U157" s="129"/>
      <c r="W157" s="35" t="str">
        <f>"-- "&amp;C157</f>
        <v>-- ワーク_診療行為データ登録</v>
      </c>
    </row>
    <row r="158" spans="2:23" ht="18.75" customHeight="1">
      <c r="B158" s="43" t="s">
        <v>159</v>
      </c>
      <c r="C158" s="130" t="str">
        <f>"診療行為データを抽出し、"&amp;R160&amp;"テーブルに格納する。"</f>
        <v>診療行為データを抽出し、ワーク_診療行為データテーブルに格納する。</v>
      </c>
      <c r="D158" s="131"/>
      <c r="E158" s="131"/>
      <c r="F158" s="131"/>
      <c r="G158" s="131"/>
      <c r="H158" s="131"/>
      <c r="I158" s="131"/>
      <c r="J158" s="131"/>
      <c r="K158" s="131"/>
      <c r="L158" s="131"/>
      <c r="M158" s="131"/>
      <c r="N158" s="131"/>
      <c r="O158" s="131"/>
      <c r="P158" s="131"/>
      <c r="Q158" s="131"/>
      <c r="R158" s="131"/>
      <c r="S158" s="131"/>
      <c r="T158" s="131"/>
      <c r="U158" s="132"/>
      <c r="W158" s="35" t="str">
        <f>"-- "&amp;C158</f>
        <v>-- 診療行為データを抽出し、ワーク_診療行為データテーブルに格納する。</v>
      </c>
    </row>
    <row r="160" spans="2:23" ht="18.75" customHeight="1">
      <c r="C160" s="119" t="s">
        <v>3694</v>
      </c>
      <c r="D160" s="120"/>
      <c r="E160" s="123" t="str">
        <f>エンティティ一覧!$O$2</f>
        <v>milscm_2023_009</v>
      </c>
      <c r="F160" s="36"/>
      <c r="G160" s="36"/>
      <c r="H160" s="36"/>
      <c r="I160" s="36"/>
      <c r="J160" s="36"/>
      <c r="M160" s="36"/>
      <c r="N160" s="36"/>
      <c r="O160" s="36"/>
      <c r="R160" s="119" t="s">
        <v>4146</v>
      </c>
      <c r="S160" s="120"/>
      <c r="T160" s="123" t="str">
        <f>エンティティ一覧!$O$2</f>
        <v>milscm_2023_009</v>
      </c>
    </row>
    <row r="161" spans="2:23" ht="18.75" customHeight="1">
      <c r="C161" s="121"/>
      <c r="D161" s="122"/>
      <c r="E161" s="124"/>
      <c r="F161" s="37"/>
      <c r="G161" s="37"/>
      <c r="H161" s="37"/>
      <c r="I161" s="37"/>
      <c r="J161" s="37"/>
      <c r="K161" s="37"/>
      <c r="L161" s="38"/>
      <c r="M161" s="37"/>
      <c r="N161" s="37"/>
      <c r="O161" s="37"/>
      <c r="P161" s="37"/>
      <c r="Q161" s="38"/>
      <c r="R161" s="121"/>
      <c r="S161" s="122"/>
      <c r="T161" s="124"/>
    </row>
    <row r="162" spans="2:23" ht="18.75" customHeight="1">
      <c r="K162" s="39"/>
      <c r="L162" s="40"/>
      <c r="P162" s="39"/>
      <c r="Q162" s="40"/>
    </row>
    <row r="163" spans="2:23" ht="18.75" customHeight="1">
      <c r="H163" s="119" t="s">
        <v>4087</v>
      </c>
      <c r="I163" s="120"/>
      <c r="J163" s="123" t="str">
        <f>エンティティ一覧!$O$2</f>
        <v>milscm_2023_009</v>
      </c>
      <c r="L163" s="41"/>
      <c r="P163" s="39"/>
      <c r="Q163" s="40"/>
    </row>
    <row r="164" spans="2:23" ht="18.75" customHeight="1">
      <c r="H164" s="121"/>
      <c r="I164" s="122"/>
      <c r="J164" s="124"/>
      <c r="K164" s="37"/>
      <c r="P164" s="39"/>
      <c r="Q164" s="40"/>
    </row>
    <row r="165" spans="2:23" ht="18.75" customHeight="1">
      <c r="P165" s="39"/>
      <c r="Q165" s="40"/>
    </row>
    <row r="166" spans="2:23" ht="18.75" customHeight="1">
      <c r="H166" s="119" t="s">
        <v>3734</v>
      </c>
      <c r="I166" s="120"/>
      <c r="J166" s="123" t="str">
        <f>エンティティ一覧!$O$2</f>
        <v>milscm_2023_009</v>
      </c>
      <c r="M166" s="36"/>
      <c r="N166" s="36"/>
      <c r="O166" s="36"/>
      <c r="Q166" s="41"/>
    </row>
    <row r="167" spans="2:23" ht="18.75" customHeight="1">
      <c r="H167" s="121"/>
      <c r="I167" s="122"/>
      <c r="J167" s="124"/>
      <c r="K167" s="37"/>
      <c r="L167" s="38"/>
      <c r="M167" s="37"/>
      <c r="N167" s="37"/>
      <c r="O167" s="37"/>
      <c r="P167" s="37"/>
    </row>
    <row r="168" spans="2:23" ht="18.75" customHeight="1">
      <c r="K168" s="39"/>
      <c r="L168" s="40"/>
    </row>
    <row r="169" spans="2:23" ht="18.75" customHeight="1">
      <c r="H169" s="119" t="s">
        <v>187</v>
      </c>
      <c r="I169" s="120"/>
      <c r="J169" s="123" t="str">
        <f>エンティティ一覧!$O$2</f>
        <v>milscm_2023_009</v>
      </c>
      <c r="L169" s="41"/>
    </row>
    <row r="170" spans="2:23" ht="18.75" customHeight="1">
      <c r="H170" s="121"/>
      <c r="I170" s="122"/>
      <c r="J170" s="124"/>
      <c r="K170" s="37"/>
    </row>
    <row r="172" spans="2:23" ht="18.75" customHeight="1" thickBot="1">
      <c r="B172" s="42"/>
      <c r="C172" s="42"/>
      <c r="D172" s="42"/>
      <c r="E172" s="42"/>
      <c r="F172" s="42"/>
      <c r="G172" s="42"/>
      <c r="H172" s="42"/>
      <c r="I172" s="42"/>
      <c r="J172" s="42"/>
      <c r="K172" s="42"/>
      <c r="L172" s="42"/>
      <c r="M172" s="42"/>
      <c r="N172" s="42"/>
      <c r="O172" s="42"/>
      <c r="P172" s="42"/>
      <c r="Q172" s="42"/>
      <c r="R172" s="42"/>
      <c r="S172" s="42"/>
      <c r="T172" s="42"/>
      <c r="U172" s="42"/>
    </row>
    <row r="174" spans="2:23" ht="18.75" customHeight="1">
      <c r="B174" s="43" t="s">
        <v>163</v>
      </c>
      <c r="C174" s="51" t="s">
        <v>4140</v>
      </c>
      <c r="D174" s="113"/>
      <c r="W174" s="35" t="str">
        <f>"-- "&amp;B174&amp;" : "&amp;C174</f>
        <v>-- SQL_ID : 41_11</v>
      </c>
    </row>
    <row r="175" spans="2:23" ht="18.75" customHeight="1">
      <c r="B175" s="43" t="s">
        <v>158</v>
      </c>
      <c r="C175" s="127" t="str">
        <f>R178&amp;"登録"</f>
        <v>ワーク_検体検査データ_スキーマ2登録</v>
      </c>
      <c r="D175" s="128"/>
      <c r="E175" s="128"/>
      <c r="F175" s="128"/>
      <c r="G175" s="128"/>
      <c r="H175" s="128"/>
      <c r="I175" s="128"/>
      <c r="J175" s="128"/>
      <c r="K175" s="128"/>
      <c r="L175" s="128"/>
      <c r="M175" s="128"/>
      <c r="N175" s="128"/>
      <c r="O175" s="128"/>
      <c r="P175" s="128"/>
      <c r="Q175" s="128"/>
      <c r="R175" s="128"/>
      <c r="S175" s="128"/>
      <c r="T175" s="128"/>
      <c r="U175" s="129"/>
      <c r="W175" s="35" t="str">
        <f>"-- "&amp;C175</f>
        <v>-- ワーク_検体検査データ_スキーマ2登録</v>
      </c>
    </row>
    <row r="176" spans="2:23" ht="18.75" customHeight="1">
      <c r="B176" s="43" t="s">
        <v>159</v>
      </c>
      <c r="C176" s="130" t="str">
        <f>"MMLの検体検査データを抽出し、"&amp;R178&amp;"テーブルに格納する。"</f>
        <v>MMLの検体検査データを抽出し、ワーク_検体検査データ_スキーマ2テーブルに格納する。</v>
      </c>
      <c r="D176" s="131"/>
      <c r="E176" s="131"/>
      <c r="F176" s="131"/>
      <c r="G176" s="131"/>
      <c r="H176" s="131"/>
      <c r="I176" s="131"/>
      <c r="J176" s="131"/>
      <c r="K176" s="131"/>
      <c r="L176" s="131"/>
      <c r="M176" s="131"/>
      <c r="N176" s="131"/>
      <c r="O176" s="131"/>
      <c r="P176" s="131"/>
      <c r="Q176" s="131"/>
      <c r="R176" s="131"/>
      <c r="S176" s="131"/>
      <c r="T176" s="131"/>
      <c r="U176" s="132"/>
      <c r="W176" s="35" t="str">
        <f>"-- "&amp;C176</f>
        <v>-- MMLの検体検査データを抽出し、ワーク_検体検査データ_スキーマ2テーブルに格納する。</v>
      </c>
    </row>
    <row r="178" spans="3:20" ht="18.75" customHeight="1">
      <c r="C178" s="119" t="s">
        <v>3690</v>
      </c>
      <c r="D178" s="120"/>
      <c r="E178" s="123" t="str">
        <f>エンティティ一覧!$O$2</f>
        <v>milscm_2023_009</v>
      </c>
      <c r="F178" s="36"/>
      <c r="G178" s="36"/>
      <c r="H178" s="36"/>
      <c r="I178" s="36"/>
      <c r="J178" s="36"/>
      <c r="K178" s="36"/>
      <c r="L178" s="36"/>
      <c r="R178" s="119" t="s">
        <v>4147</v>
      </c>
      <c r="S178" s="120"/>
      <c r="T178" s="123" t="str">
        <f>エンティティ一覧!$O$2</f>
        <v>milscm_2023_009</v>
      </c>
    </row>
    <row r="179" spans="3:20" ht="18.75" customHeight="1">
      <c r="C179" s="121"/>
      <c r="D179" s="122"/>
      <c r="E179" s="124"/>
      <c r="F179" s="37"/>
      <c r="G179" s="37"/>
      <c r="H179" s="37"/>
      <c r="I179" s="37"/>
      <c r="J179" s="37"/>
      <c r="K179" s="37"/>
      <c r="L179" s="37"/>
      <c r="M179" s="37"/>
      <c r="N179" s="96"/>
      <c r="O179" s="38"/>
      <c r="P179" s="96"/>
      <c r="Q179" s="38"/>
      <c r="R179" s="121"/>
      <c r="S179" s="122"/>
      <c r="T179" s="124"/>
    </row>
    <row r="180" spans="3:20" ht="18.75" customHeight="1">
      <c r="K180" s="39"/>
      <c r="L180" s="101"/>
      <c r="M180" s="104"/>
      <c r="N180" s="39"/>
      <c r="O180" s="40"/>
      <c r="P180" s="115"/>
      <c r="Q180" s="40"/>
    </row>
    <row r="181" spans="3:20" ht="18.75" customHeight="1">
      <c r="H181" s="119" t="s">
        <v>3691</v>
      </c>
      <c r="I181" s="120"/>
      <c r="J181" s="123" t="str">
        <f>エンティティ一覧!$O$2</f>
        <v>milscm_2023_009</v>
      </c>
      <c r="L181" s="36"/>
      <c r="M181" s="105"/>
      <c r="N181" s="39"/>
      <c r="O181" s="40"/>
      <c r="P181" s="115"/>
      <c r="Q181" s="40"/>
    </row>
    <row r="182" spans="3:20" ht="18.75" customHeight="1">
      <c r="H182" s="121"/>
      <c r="I182" s="122"/>
      <c r="J182" s="124"/>
      <c r="K182" s="96"/>
      <c r="N182" s="39"/>
      <c r="O182" s="40"/>
      <c r="P182" s="115"/>
      <c r="Q182" s="40"/>
    </row>
    <row r="183" spans="3:20" ht="18.75" customHeight="1">
      <c r="K183" s="39"/>
      <c r="L183" s="40"/>
      <c r="N183" s="39"/>
      <c r="O183" s="40"/>
      <c r="P183" s="115"/>
      <c r="Q183" s="40"/>
    </row>
    <row r="184" spans="3:20" ht="18.75" customHeight="1">
      <c r="H184" s="119" t="s">
        <v>4068</v>
      </c>
      <c r="I184" s="120"/>
      <c r="J184" s="123" t="str">
        <f>エンティティ一覧!$O$2</f>
        <v>milscm_2023_009</v>
      </c>
      <c r="L184" s="41"/>
      <c r="N184" s="39"/>
      <c r="O184" s="40"/>
      <c r="P184" s="115"/>
      <c r="Q184" s="40"/>
    </row>
    <row r="185" spans="3:20" ht="18.75" customHeight="1">
      <c r="H185" s="121"/>
      <c r="I185" s="122"/>
      <c r="J185" s="124"/>
      <c r="K185" s="37"/>
      <c r="N185" s="39"/>
      <c r="O185" s="40"/>
      <c r="P185" s="115"/>
      <c r="Q185" s="40"/>
    </row>
    <row r="186" spans="3:20" ht="18.75" customHeight="1">
      <c r="N186" s="39"/>
      <c r="O186" s="40"/>
      <c r="P186" s="115"/>
      <c r="Q186" s="40"/>
    </row>
    <row r="187" spans="3:20" ht="18.75" customHeight="1">
      <c r="H187" s="119" t="s">
        <v>3692</v>
      </c>
      <c r="I187" s="120"/>
      <c r="J187" s="123" t="str">
        <f>エンティティ一覧!$O$2</f>
        <v>milscm_2023_009</v>
      </c>
      <c r="M187" s="36"/>
      <c r="O187" s="41"/>
      <c r="P187" s="115"/>
      <c r="Q187" s="40"/>
    </row>
    <row r="188" spans="3:20" ht="18.75" customHeight="1">
      <c r="H188" s="121"/>
      <c r="I188" s="122"/>
      <c r="J188" s="124"/>
      <c r="K188" s="37"/>
      <c r="L188" s="38"/>
      <c r="M188" s="37"/>
      <c r="N188" s="37"/>
      <c r="P188" s="115"/>
      <c r="Q188" s="40"/>
    </row>
    <row r="189" spans="3:20" ht="18.75" customHeight="1">
      <c r="K189" s="39"/>
      <c r="L189" s="40"/>
      <c r="P189" s="115"/>
      <c r="Q189" s="40"/>
    </row>
    <row r="190" spans="3:20" ht="18.75" customHeight="1">
      <c r="H190" s="119" t="s">
        <v>4068</v>
      </c>
      <c r="I190" s="120"/>
      <c r="J190" s="123" t="str">
        <f>エンティティ一覧!$O$2</f>
        <v>milscm_2023_009</v>
      </c>
      <c r="L190" s="41"/>
      <c r="P190" s="115"/>
      <c r="Q190" s="40"/>
    </row>
    <row r="191" spans="3:20" ht="18.75" customHeight="1">
      <c r="H191" s="121"/>
      <c r="I191" s="122"/>
      <c r="J191" s="124"/>
      <c r="K191" s="37"/>
      <c r="P191" s="115"/>
      <c r="Q191" s="40"/>
    </row>
    <row r="192" spans="3:20" ht="18.75" customHeight="1">
      <c r="P192" s="115"/>
      <c r="Q192" s="40"/>
    </row>
    <row r="193" spans="2:23" ht="18.75" customHeight="1">
      <c r="H193" s="119" t="s">
        <v>4068</v>
      </c>
      <c r="I193" s="120"/>
      <c r="J193" s="123" t="s">
        <v>4148</v>
      </c>
      <c r="K193" s="116"/>
      <c r="L193" s="36"/>
      <c r="M193" s="36"/>
      <c r="N193" s="36"/>
      <c r="O193" s="36"/>
      <c r="P193" s="114"/>
      <c r="Q193" s="41"/>
    </row>
    <row r="194" spans="2:23" ht="18.75" customHeight="1">
      <c r="H194" s="121"/>
      <c r="I194" s="122"/>
      <c r="J194" s="124"/>
      <c r="P194" s="94"/>
      <c r="Q194" s="41"/>
    </row>
    <row r="195" spans="2:23" ht="18.75" customHeight="1">
      <c r="P195" s="39"/>
      <c r="Q195" s="40"/>
    </row>
    <row r="196" spans="2:23" ht="18.75" customHeight="1">
      <c r="H196" s="119" t="s">
        <v>3734</v>
      </c>
      <c r="I196" s="120"/>
      <c r="J196" s="123" t="str">
        <f>エンティティ一覧!$O$2</f>
        <v>milscm_2023_009</v>
      </c>
      <c r="M196" s="36"/>
      <c r="N196" s="36"/>
      <c r="O196" s="36"/>
      <c r="Q196" s="41"/>
    </row>
    <row r="197" spans="2:23" ht="18.75" customHeight="1">
      <c r="H197" s="121"/>
      <c r="I197" s="122"/>
      <c r="J197" s="124"/>
      <c r="K197" s="37"/>
      <c r="L197" s="38"/>
      <c r="M197" s="37"/>
      <c r="N197" s="37"/>
      <c r="O197" s="37"/>
      <c r="P197" s="37"/>
    </row>
    <row r="198" spans="2:23" ht="18.75" customHeight="1">
      <c r="K198" s="39"/>
      <c r="L198" s="40"/>
    </row>
    <row r="199" spans="2:23" ht="18.75" customHeight="1">
      <c r="H199" s="119" t="s">
        <v>187</v>
      </c>
      <c r="I199" s="120"/>
      <c r="J199" s="123" t="str">
        <f>エンティティ一覧!$O$2</f>
        <v>milscm_2023_009</v>
      </c>
      <c r="L199" s="41"/>
    </row>
    <row r="200" spans="2:23" ht="18.75" customHeight="1">
      <c r="H200" s="121"/>
      <c r="I200" s="122"/>
      <c r="J200" s="124"/>
      <c r="K200" s="37"/>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4142</v>
      </c>
      <c r="D204" s="113"/>
      <c r="W204" s="35" t="str">
        <f>"-- "&amp;B204&amp;" : "&amp;C204</f>
        <v>-- SQL_ID : 41_12</v>
      </c>
    </row>
    <row r="205" spans="2:23" ht="18.75" customHeight="1">
      <c r="B205" s="43" t="s">
        <v>158</v>
      </c>
      <c r="C205" s="127" t="str">
        <f>R208&amp;"登録"</f>
        <v>ワーク_検体検査データ_スキーマ4登録</v>
      </c>
      <c r="D205" s="128"/>
      <c r="E205" s="128"/>
      <c r="F205" s="128"/>
      <c r="G205" s="128"/>
      <c r="H205" s="128"/>
      <c r="I205" s="128"/>
      <c r="J205" s="128"/>
      <c r="K205" s="128"/>
      <c r="L205" s="128"/>
      <c r="M205" s="128"/>
      <c r="N205" s="128"/>
      <c r="O205" s="128"/>
      <c r="P205" s="128"/>
      <c r="Q205" s="128"/>
      <c r="R205" s="128"/>
      <c r="S205" s="128"/>
      <c r="T205" s="128"/>
      <c r="U205" s="129"/>
      <c r="W205" s="35" t="str">
        <f>"-- "&amp;C205</f>
        <v>-- ワーク_検体検査データ_スキーマ4登録</v>
      </c>
    </row>
    <row r="206" spans="2:23" ht="18.75" customHeight="1">
      <c r="B206" s="43" t="s">
        <v>159</v>
      </c>
      <c r="C206" s="130" t="str">
        <f>"MML（スキーマ4）の検体検査データを抽出し、"&amp;R208&amp;"テーブルに格納する。"</f>
        <v>MML（スキーマ4）の検体検査データを抽出し、ワーク_検体検査データ_スキーマ4テーブルに格納する。</v>
      </c>
      <c r="D206" s="131"/>
      <c r="E206" s="131"/>
      <c r="F206" s="131"/>
      <c r="G206" s="131"/>
      <c r="H206" s="131"/>
      <c r="I206" s="131"/>
      <c r="J206" s="131"/>
      <c r="K206" s="131"/>
      <c r="L206" s="131"/>
      <c r="M206" s="131"/>
      <c r="N206" s="131"/>
      <c r="O206" s="131"/>
      <c r="P206" s="131"/>
      <c r="Q206" s="131"/>
      <c r="R206" s="131"/>
      <c r="S206" s="131"/>
      <c r="T206" s="131"/>
      <c r="U206" s="132"/>
      <c r="W206" s="35" t="str">
        <f>"-- "&amp;C206</f>
        <v>-- MML（スキーマ4）の検体検査データを抽出し、ワーク_検体検査データ_スキーマ4テーブルに格納する。</v>
      </c>
    </row>
    <row r="208" spans="2:23" ht="18.75" customHeight="1">
      <c r="C208" s="119" t="s">
        <v>3994</v>
      </c>
      <c r="D208" s="120"/>
      <c r="E208" s="123" t="str">
        <f>エンティティ一覧!$O$2</f>
        <v>milscm_2023_009</v>
      </c>
      <c r="F208" s="36"/>
      <c r="G208" s="36"/>
      <c r="H208" s="36"/>
      <c r="I208" s="36"/>
      <c r="J208" s="36"/>
      <c r="R208" s="119" t="s">
        <v>4150</v>
      </c>
      <c r="S208" s="120"/>
      <c r="T208" s="123" t="str">
        <f>エンティティ一覧!$O$2</f>
        <v>milscm_2023_009</v>
      </c>
    </row>
    <row r="209" spans="3:20" ht="18.75" customHeight="1">
      <c r="C209" s="121"/>
      <c r="D209" s="122"/>
      <c r="E209" s="124"/>
      <c r="F209" s="37"/>
      <c r="G209" s="37"/>
      <c r="H209" s="37"/>
      <c r="I209" s="37"/>
      <c r="J209" s="37"/>
      <c r="K209" s="37"/>
      <c r="L209" s="38"/>
      <c r="M209" s="37"/>
      <c r="N209" s="96"/>
      <c r="O209" s="38"/>
      <c r="P209" s="96"/>
      <c r="Q209" s="38"/>
      <c r="R209" s="121"/>
      <c r="S209" s="122"/>
      <c r="T209" s="124"/>
    </row>
    <row r="210" spans="3:20" ht="18.75" customHeight="1">
      <c r="F210" s="39"/>
      <c r="G210" s="101"/>
      <c r="K210" s="104"/>
      <c r="L210" s="39"/>
      <c r="M210" s="104"/>
      <c r="N210" s="39"/>
      <c r="O210" s="40"/>
      <c r="P210" s="115"/>
      <c r="Q210" s="40"/>
    </row>
    <row r="211" spans="3:20" ht="18.75" customHeight="1">
      <c r="C211" s="119" t="s">
        <v>3697</v>
      </c>
      <c r="D211" s="120"/>
      <c r="E211" s="123" t="str">
        <f>エンティティ一覧!$O$2</f>
        <v>milscm_2023_009</v>
      </c>
      <c r="F211" s="36"/>
      <c r="G211" s="36"/>
      <c r="H211" s="36"/>
      <c r="I211" s="36"/>
      <c r="J211" s="36"/>
      <c r="K211" s="105"/>
      <c r="L211" s="39"/>
      <c r="M211" s="104"/>
      <c r="N211" s="39"/>
      <c r="O211" s="40"/>
      <c r="P211" s="115"/>
      <c r="Q211" s="40"/>
    </row>
    <row r="212" spans="3:20" ht="18.75" customHeight="1">
      <c r="C212" s="121"/>
      <c r="D212" s="122"/>
      <c r="E212" s="124"/>
      <c r="F212" s="37"/>
      <c r="G212" s="37"/>
      <c r="H212" s="37"/>
      <c r="I212" s="37"/>
      <c r="J212" s="37"/>
      <c r="L212" s="39"/>
      <c r="M212" s="104"/>
      <c r="N212" s="39"/>
      <c r="O212" s="40"/>
      <c r="P212" s="115"/>
      <c r="Q212" s="40"/>
    </row>
    <row r="213" spans="3:20" ht="18.75" customHeight="1">
      <c r="K213" s="39"/>
      <c r="L213" s="101"/>
      <c r="M213" s="104"/>
      <c r="N213" s="39"/>
      <c r="O213" s="40"/>
      <c r="P213" s="115"/>
      <c r="Q213" s="40"/>
    </row>
    <row r="214" spans="3:20" ht="18.75" customHeight="1">
      <c r="H214" s="119" t="s">
        <v>3996</v>
      </c>
      <c r="I214" s="120"/>
      <c r="J214" s="123" t="str">
        <f>エンティティ一覧!$O$2</f>
        <v>milscm_2023_009</v>
      </c>
      <c r="L214" s="36"/>
      <c r="M214" s="105"/>
      <c r="N214" s="39"/>
      <c r="O214" s="40"/>
      <c r="P214" s="115"/>
      <c r="Q214" s="40"/>
    </row>
    <row r="215" spans="3:20" ht="18.75" customHeight="1">
      <c r="H215" s="121"/>
      <c r="I215" s="122"/>
      <c r="J215" s="124"/>
      <c r="K215" s="96"/>
      <c r="N215" s="39"/>
      <c r="O215" s="40"/>
      <c r="P215" s="115"/>
      <c r="Q215" s="40"/>
    </row>
    <row r="216" spans="3:20" ht="18.75" customHeight="1">
      <c r="K216" s="39"/>
      <c r="L216" s="40"/>
      <c r="N216" s="39"/>
      <c r="O216" s="40"/>
      <c r="P216" s="115"/>
      <c r="Q216" s="40"/>
    </row>
    <row r="217" spans="3:20" ht="18.75" customHeight="1">
      <c r="H217" s="119" t="s">
        <v>4068</v>
      </c>
      <c r="I217" s="120"/>
      <c r="J217" s="123" t="str">
        <f>エンティティ一覧!$O$2</f>
        <v>milscm_2023_009</v>
      </c>
      <c r="L217" s="41"/>
      <c r="N217" s="39"/>
      <c r="O217" s="40"/>
      <c r="P217" s="115"/>
      <c r="Q217" s="40"/>
    </row>
    <row r="218" spans="3:20" ht="18.75" customHeight="1">
      <c r="H218" s="121"/>
      <c r="I218" s="122"/>
      <c r="J218" s="124"/>
      <c r="K218" s="37"/>
      <c r="N218" s="39"/>
      <c r="O218" s="40"/>
      <c r="P218" s="115"/>
      <c r="Q218" s="40"/>
    </row>
    <row r="219" spans="3:20" ht="18.75" customHeight="1">
      <c r="N219" s="39"/>
      <c r="O219" s="40"/>
      <c r="P219" s="115"/>
      <c r="Q219" s="40"/>
    </row>
    <row r="220" spans="3:20" ht="18.75" customHeight="1">
      <c r="H220" s="119" t="s">
        <v>3998</v>
      </c>
      <c r="I220" s="120"/>
      <c r="J220" s="123" t="str">
        <f>エンティティ一覧!$O$2</f>
        <v>milscm_2023_009</v>
      </c>
      <c r="M220" s="36"/>
      <c r="O220" s="41"/>
      <c r="P220" s="115"/>
      <c r="Q220" s="40"/>
    </row>
    <row r="221" spans="3:20" ht="18.75" customHeight="1">
      <c r="H221" s="121"/>
      <c r="I221" s="122"/>
      <c r="J221" s="124"/>
      <c r="K221" s="37"/>
      <c r="L221" s="38"/>
      <c r="M221" s="37"/>
      <c r="N221" s="37"/>
      <c r="P221" s="115"/>
      <c r="Q221" s="40"/>
    </row>
    <row r="222" spans="3:20" ht="18.75" customHeight="1">
      <c r="K222" s="39"/>
      <c r="L222" s="40"/>
      <c r="P222" s="115"/>
      <c r="Q222" s="40"/>
    </row>
    <row r="223" spans="3:20" ht="18.75" customHeight="1">
      <c r="H223" s="119" t="s">
        <v>4068</v>
      </c>
      <c r="I223" s="120"/>
      <c r="J223" s="123" t="str">
        <f>エンティティ一覧!$O$2</f>
        <v>milscm_2023_009</v>
      </c>
      <c r="K223" s="105"/>
      <c r="L223" s="41"/>
      <c r="P223" s="115"/>
      <c r="Q223" s="40"/>
    </row>
    <row r="224" spans="3:20" ht="18.75" customHeight="1">
      <c r="H224" s="121"/>
      <c r="I224" s="122"/>
      <c r="J224" s="124"/>
      <c r="K224" s="37"/>
      <c r="P224" s="115"/>
      <c r="Q224" s="40"/>
    </row>
    <row r="225" spans="2:23" ht="18.75" customHeight="1">
      <c r="H225" s="117"/>
      <c r="I225" s="117"/>
      <c r="J225" s="117"/>
      <c r="K225" s="94"/>
      <c r="P225" s="115"/>
      <c r="Q225" s="40"/>
    </row>
    <row r="226" spans="2:23" ht="18.75" customHeight="1">
      <c r="H226" s="119" t="s">
        <v>4068</v>
      </c>
      <c r="I226" s="120"/>
      <c r="J226" s="123" t="str">
        <f>エンティティ一覧!$O$2</f>
        <v>milscm_2023_009</v>
      </c>
      <c r="K226" s="36"/>
      <c r="L226" s="36"/>
      <c r="M226" s="36"/>
      <c r="N226" s="36"/>
      <c r="O226" s="105"/>
      <c r="P226" s="114"/>
      <c r="Q226" s="41"/>
    </row>
    <row r="227" spans="2:23" ht="18.75" customHeight="1">
      <c r="H227" s="121"/>
      <c r="I227" s="122"/>
      <c r="J227" s="124"/>
      <c r="P227" s="94"/>
      <c r="Q227" s="41"/>
    </row>
    <row r="228" spans="2:23" ht="18.75" customHeight="1">
      <c r="P228" s="39"/>
      <c r="Q228" s="40"/>
    </row>
    <row r="229" spans="2:23" ht="18.75" customHeight="1">
      <c r="H229" s="119" t="s">
        <v>3734</v>
      </c>
      <c r="I229" s="120"/>
      <c r="J229" s="123" t="str">
        <f>エンティティ一覧!$O$2</f>
        <v>milscm_2023_009</v>
      </c>
      <c r="L229" s="107"/>
      <c r="M229" s="36"/>
      <c r="N229" s="36"/>
      <c r="O229" s="36"/>
      <c r="P229" s="105"/>
    </row>
    <row r="230" spans="2:23" ht="18.75" customHeight="1">
      <c r="H230" s="121"/>
      <c r="I230" s="122"/>
      <c r="J230" s="124"/>
      <c r="K230" s="37"/>
      <c r="L230" s="40"/>
    </row>
    <row r="231" spans="2:23" ht="18.75" customHeight="1">
      <c r="K231" s="39"/>
      <c r="L231" s="40"/>
    </row>
    <row r="232" spans="2:23" ht="18.75" customHeight="1">
      <c r="H232" s="119" t="s">
        <v>187</v>
      </c>
      <c r="I232" s="120"/>
      <c r="J232" s="123" t="str">
        <f>エンティティ一覧!$O$2</f>
        <v>milscm_2023_009</v>
      </c>
      <c r="L232" s="41"/>
    </row>
    <row r="233" spans="2:23" ht="18.75" customHeight="1">
      <c r="H233" s="121"/>
      <c r="I233" s="122"/>
      <c r="J233" s="124"/>
      <c r="K233" s="37"/>
    </row>
    <row r="235" spans="2:23" ht="18.75" customHeight="1" thickBot="1">
      <c r="B235" s="42"/>
      <c r="C235" s="42"/>
      <c r="D235" s="42"/>
      <c r="E235" s="42"/>
      <c r="F235" s="42"/>
      <c r="G235" s="42"/>
      <c r="H235" s="42"/>
      <c r="I235" s="42"/>
      <c r="J235" s="42"/>
      <c r="K235" s="42"/>
      <c r="L235" s="42"/>
      <c r="M235" s="42"/>
      <c r="N235" s="42"/>
      <c r="O235" s="42"/>
      <c r="P235" s="42"/>
      <c r="Q235" s="42"/>
      <c r="R235" s="42"/>
      <c r="S235" s="42"/>
      <c r="T235" s="42"/>
      <c r="U235" s="42"/>
    </row>
    <row r="237" spans="2:23" ht="18.75" customHeight="1">
      <c r="B237" s="43" t="s">
        <v>163</v>
      </c>
      <c r="C237" s="51" t="s">
        <v>4144</v>
      </c>
      <c r="D237" s="113"/>
      <c r="W237" s="35" t="str">
        <f>"-- "&amp;B237&amp;" : "&amp;C237</f>
        <v>-- SQL_ID : 41_13</v>
      </c>
    </row>
    <row r="238" spans="2:23" ht="18.75" customHeight="1">
      <c r="B238" s="43" t="s">
        <v>158</v>
      </c>
      <c r="C238" s="127" t="str">
        <f>R241&amp;"登録"</f>
        <v>ワーク_検体検査データ登録</v>
      </c>
      <c r="D238" s="128"/>
      <c r="E238" s="128"/>
      <c r="F238" s="128"/>
      <c r="G238" s="128"/>
      <c r="H238" s="128"/>
      <c r="I238" s="128"/>
      <c r="J238" s="128"/>
      <c r="K238" s="128"/>
      <c r="L238" s="128"/>
      <c r="M238" s="128"/>
      <c r="N238" s="128"/>
      <c r="O238" s="128"/>
      <c r="P238" s="128"/>
      <c r="Q238" s="128"/>
      <c r="R238" s="128"/>
      <c r="S238" s="128"/>
      <c r="T238" s="128"/>
      <c r="U238" s="129"/>
      <c r="W238" s="35" t="str">
        <f>"-- "&amp;C238</f>
        <v>-- ワーク_検体検査データ登録</v>
      </c>
    </row>
    <row r="239" spans="2:23" ht="18.75" customHeight="1">
      <c r="B239" s="43" t="s">
        <v>159</v>
      </c>
      <c r="C239" s="130" t="str">
        <f>"MMLの検体検査データを抽出し、"&amp;R241&amp;"テーブルに格納する。"</f>
        <v>MMLの検体検査データを抽出し、ワーク_検体検査データテーブルに格納する。</v>
      </c>
      <c r="D239" s="131"/>
      <c r="E239" s="131"/>
      <c r="F239" s="131"/>
      <c r="G239" s="131"/>
      <c r="H239" s="131"/>
      <c r="I239" s="131"/>
      <c r="J239" s="131"/>
      <c r="K239" s="131"/>
      <c r="L239" s="131"/>
      <c r="M239" s="131"/>
      <c r="N239" s="131"/>
      <c r="O239" s="131"/>
      <c r="P239" s="131"/>
      <c r="Q239" s="131"/>
      <c r="R239" s="131"/>
      <c r="S239" s="131"/>
      <c r="T239" s="131"/>
      <c r="U239" s="132"/>
      <c r="W239" s="35" t="str">
        <f>"-- "&amp;C239</f>
        <v>-- MMLの検体検査データを抽出し、ワーク_検体検査データテーブルに格納する。</v>
      </c>
    </row>
    <row r="241" spans="1:23" ht="18.75" customHeight="1">
      <c r="C241" s="119" t="s">
        <v>4147</v>
      </c>
      <c r="D241" s="120"/>
      <c r="E241" s="123" t="str">
        <f>エンティティ一覧!$O$2</f>
        <v>milscm_2023_009</v>
      </c>
      <c r="H241" s="36"/>
      <c r="I241" s="36"/>
      <c r="J241" s="36"/>
      <c r="K241" s="36"/>
      <c r="L241" s="36"/>
      <c r="M241" s="36"/>
      <c r="N241" s="36"/>
      <c r="O241" s="36"/>
      <c r="P241" s="36"/>
      <c r="Q241" s="36"/>
      <c r="R241" s="119" t="s">
        <v>4151</v>
      </c>
      <c r="S241" s="120"/>
      <c r="T241" s="123" t="str">
        <f>エンティティ一覧!$O$2</f>
        <v>milscm_2023_009</v>
      </c>
    </row>
    <row r="242" spans="1:23" ht="18.75" customHeight="1">
      <c r="C242" s="121"/>
      <c r="D242" s="122"/>
      <c r="E242" s="124"/>
      <c r="F242" s="37"/>
      <c r="G242" s="38"/>
      <c r="H242" s="37"/>
      <c r="I242" s="37"/>
      <c r="J242" s="37"/>
      <c r="K242" s="37"/>
      <c r="L242" s="37"/>
      <c r="M242" s="37"/>
      <c r="N242" s="37"/>
      <c r="O242" s="37"/>
      <c r="P242" s="37"/>
      <c r="Q242" s="37"/>
      <c r="R242" s="121"/>
      <c r="S242" s="122"/>
      <c r="T242" s="124"/>
    </row>
    <row r="243" spans="1:23" ht="18.75" customHeight="1">
      <c r="F243" s="39"/>
      <c r="G243" s="40"/>
    </row>
    <row r="244" spans="1:23" ht="18.75" customHeight="1">
      <c r="C244" s="119" t="s">
        <v>4150</v>
      </c>
      <c r="D244" s="120"/>
      <c r="E244" s="123" t="str">
        <f>エンティティ一覧!$O$2</f>
        <v>milscm_2023_009</v>
      </c>
      <c r="G244" s="41"/>
    </row>
    <row r="245" spans="1:23" ht="18.75" customHeight="1">
      <c r="C245" s="121"/>
      <c r="D245" s="122"/>
      <c r="E245" s="124"/>
      <c r="F245" s="37"/>
    </row>
    <row r="247" spans="1: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1:23" ht="18.75" customHeight="1">
      <c r="A249" s="77"/>
      <c r="B249" s="43" t="s">
        <v>163</v>
      </c>
      <c r="C249" s="51" t="s">
        <v>4145</v>
      </c>
      <c r="D249" s="113"/>
      <c r="W249" s="35" t="str">
        <f>"-- "&amp;B249&amp;" : "&amp;C249</f>
        <v>-- SQL_ID : 41_14</v>
      </c>
    </row>
    <row r="250" spans="1:23" ht="18.75" customHeight="1">
      <c r="B250" s="43" t="s">
        <v>158</v>
      </c>
      <c r="C250" s="127" t="str">
        <f>R253&amp;"登録"</f>
        <v>ワーク_身長体重データ_DPC登録</v>
      </c>
      <c r="D250" s="128"/>
      <c r="E250" s="128"/>
      <c r="F250" s="128"/>
      <c r="G250" s="128"/>
      <c r="H250" s="128"/>
      <c r="I250" s="128"/>
      <c r="J250" s="128"/>
      <c r="K250" s="128"/>
      <c r="L250" s="128"/>
      <c r="M250" s="128"/>
      <c r="N250" s="128"/>
      <c r="O250" s="128"/>
      <c r="P250" s="128"/>
      <c r="Q250" s="128"/>
      <c r="R250" s="128"/>
      <c r="S250" s="128"/>
      <c r="T250" s="128"/>
      <c r="U250" s="129"/>
      <c r="W250" s="35" t="str">
        <f>"-- "&amp;C250</f>
        <v>-- ワーク_身長体重データ_DPC登録</v>
      </c>
    </row>
    <row r="251" spans="1:23" ht="18.75" customHeight="1">
      <c r="B251" s="43" t="s">
        <v>159</v>
      </c>
      <c r="C251" s="130" t="str">
        <f>"DPCの身長体重データを抽出し、"&amp;R253&amp;"テーブルに格納する。"</f>
        <v>DPCの身長体重データを抽出し、ワーク_身長体重データ_DPCテーブルに格納する。</v>
      </c>
      <c r="D251" s="131"/>
      <c r="E251" s="131"/>
      <c r="F251" s="131"/>
      <c r="G251" s="131"/>
      <c r="H251" s="131"/>
      <c r="I251" s="131"/>
      <c r="J251" s="131"/>
      <c r="K251" s="131"/>
      <c r="L251" s="131"/>
      <c r="M251" s="131"/>
      <c r="N251" s="131"/>
      <c r="O251" s="131"/>
      <c r="P251" s="131"/>
      <c r="Q251" s="131"/>
      <c r="R251" s="131"/>
      <c r="S251" s="131"/>
      <c r="T251" s="131"/>
      <c r="U251" s="132"/>
      <c r="W251" s="35" t="str">
        <f>"-- "&amp;C251</f>
        <v>-- DPCの身長体重データを抽出し、ワーク_身長体重データ_DPCテーブルに格納する。</v>
      </c>
    </row>
    <row r="253" spans="1:23" ht="18.75" customHeight="1">
      <c r="C253" s="119" t="s">
        <v>311</v>
      </c>
      <c r="D253" s="120"/>
      <c r="E253" s="123" t="str">
        <f>エンティティ一覧!$O$2</f>
        <v>milscm_2023_009</v>
      </c>
      <c r="F253" s="36"/>
      <c r="G253" s="36"/>
      <c r="H253" s="36"/>
      <c r="I253" s="36"/>
      <c r="J253" s="36"/>
      <c r="K253" s="36"/>
      <c r="L253" s="36"/>
      <c r="M253" s="36"/>
      <c r="N253" s="36"/>
      <c r="O253" s="36"/>
      <c r="R253" s="119" t="s">
        <v>4158</v>
      </c>
      <c r="S253" s="120"/>
      <c r="T253" s="123" t="str">
        <f>エンティティ一覧!$O$2</f>
        <v>milscm_2023_009</v>
      </c>
      <c r="W253" s="35" t="s">
        <v>3670</v>
      </c>
    </row>
    <row r="254" spans="1:23" ht="18.75" customHeight="1">
      <c r="C254" s="121"/>
      <c r="D254" s="122"/>
      <c r="E254" s="124"/>
      <c r="F254" s="37"/>
      <c r="G254" s="37"/>
      <c r="H254" s="37"/>
      <c r="I254" s="37"/>
      <c r="J254" s="37"/>
      <c r="K254" s="37"/>
      <c r="L254" s="37"/>
      <c r="M254" s="37"/>
      <c r="N254" s="37"/>
      <c r="O254" s="37"/>
      <c r="P254" s="37"/>
      <c r="Q254" s="38"/>
      <c r="R254" s="121"/>
      <c r="S254" s="122"/>
      <c r="T254" s="124"/>
    </row>
    <row r="255" spans="1:23" ht="18.75" customHeight="1">
      <c r="P255" s="39"/>
      <c r="Q255" s="40"/>
    </row>
    <row r="256" spans="1:23" ht="18.75" customHeight="1">
      <c r="H256" s="119" t="s">
        <v>3734</v>
      </c>
      <c r="I256" s="120"/>
      <c r="J256" s="123" t="str">
        <f>エンティティ一覧!$O$2</f>
        <v>milscm_2023_009</v>
      </c>
      <c r="M256" s="36"/>
      <c r="N256" s="36"/>
      <c r="O256" s="36"/>
      <c r="Q256" s="41"/>
    </row>
    <row r="257" spans="1:23" ht="18.75" customHeight="1">
      <c r="H257" s="121"/>
      <c r="I257" s="122"/>
      <c r="J257" s="124"/>
      <c r="K257" s="37"/>
      <c r="L257" s="38"/>
      <c r="M257" s="37"/>
      <c r="N257" s="37"/>
      <c r="O257" s="37"/>
      <c r="P257" s="37"/>
    </row>
    <row r="258" spans="1:23" ht="18.75" customHeight="1">
      <c r="K258" s="39"/>
      <c r="L258" s="40"/>
    </row>
    <row r="259" spans="1:23" ht="18.75" customHeight="1">
      <c r="H259" s="119" t="s">
        <v>187</v>
      </c>
      <c r="I259" s="120"/>
      <c r="J259" s="123" t="str">
        <f>エンティティ一覧!$O$2</f>
        <v>milscm_2023_009</v>
      </c>
      <c r="L259" s="41"/>
    </row>
    <row r="260" spans="1:23" ht="18.75" customHeight="1">
      <c r="H260" s="121"/>
      <c r="I260" s="122"/>
      <c r="J260" s="124"/>
      <c r="K260" s="37"/>
    </row>
    <row r="262" spans="1:23" ht="18.75" customHeight="1" thickBot="1">
      <c r="B262" s="42"/>
      <c r="C262" s="42"/>
      <c r="D262" s="42"/>
      <c r="E262" s="42"/>
      <c r="F262" s="42"/>
      <c r="G262" s="42"/>
      <c r="H262" s="42"/>
      <c r="I262" s="42"/>
      <c r="J262" s="42"/>
      <c r="K262" s="42"/>
      <c r="L262" s="42"/>
      <c r="M262" s="42"/>
      <c r="N262" s="42"/>
      <c r="O262" s="42"/>
      <c r="P262" s="42"/>
      <c r="Q262" s="42"/>
      <c r="R262" s="42"/>
      <c r="S262" s="42"/>
      <c r="T262" s="42"/>
      <c r="U262" s="42"/>
    </row>
    <row r="264" spans="1:23" ht="18.75" customHeight="1">
      <c r="A264" s="77"/>
      <c r="B264" s="43" t="s">
        <v>163</v>
      </c>
      <c r="C264" s="51" t="s">
        <v>4159</v>
      </c>
      <c r="D264" s="113"/>
      <c r="W264" s="35" t="str">
        <f>"-- "&amp;B264&amp;" : "&amp;C264</f>
        <v>-- SQL_ID : 41_15-01</v>
      </c>
    </row>
    <row r="265" spans="1:23" ht="18.75" customHeight="1">
      <c r="B265" s="43" t="s">
        <v>158</v>
      </c>
      <c r="C265" s="127" t="str">
        <f>R268&amp;"（mmlVs）登録"</f>
        <v>ワーク_身長体重データ_MML（mmlVs）登録</v>
      </c>
      <c r="D265" s="128"/>
      <c r="E265" s="128"/>
      <c r="F265" s="128"/>
      <c r="G265" s="128"/>
      <c r="H265" s="128"/>
      <c r="I265" s="128"/>
      <c r="J265" s="128"/>
      <c r="K265" s="128"/>
      <c r="L265" s="128"/>
      <c r="M265" s="128"/>
      <c r="N265" s="128"/>
      <c r="O265" s="128"/>
      <c r="P265" s="128"/>
      <c r="Q265" s="128"/>
      <c r="R265" s="128"/>
      <c r="S265" s="128"/>
      <c r="T265" s="128"/>
      <c r="U265" s="129"/>
      <c r="W265" s="35" t="str">
        <f>"-- "&amp;C265</f>
        <v>-- ワーク_身長体重データ_MML（mmlVs）登録</v>
      </c>
    </row>
    <row r="266" spans="1:23" ht="18.75" customHeight="1">
      <c r="B266" s="43" t="s">
        <v>159</v>
      </c>
      <c r="C266" s="130" t="str">
        <f>"MMLの身長体重データを抽出し、"&amp;R268&amp;"テーブルに格納する。"</f>
        <v>MMLの身長体重データを抽出し、ワーク_身長体重データ_MMLテーブルに格納する。</v>
      </c>
      <c r="D266" s="131"/>
      <c r="E266" s="131"/>
      <c r="F266" s="131"/>
      <c r="G266" s="131"/>
      <c r="H266" s="131"/>
      <c r="I266" s="131"/>
      <c r="J266" s="131"/>
      <c r="K266" s="131"/>
      <c r="L266" s="131"/>
      <c r="M266" s="131"/>
      <c r="N266" s="131"/>
      <c r="O266" s="131"/>
      <c r="P266" s="131"/>
      <c r="Q266" s="131"/>
      <c r="R266" s="131"/>
      <c r="S266" s="131"/>
      <c r="T266" s="131"/>
      <c r="U266" s="132"/>
      <c r="W266" s="35" t="str">
        <f>"-- "&amp;C266</f>
        <v>-- MMLの身長体重データを抽出し、ワーク_身長体重データ_MMLテーブルに格納する。</v>
      </c>
    </row>
    <row r="268" spans="1:23" ht="18.75" customHeight="1">
      <c r="C268" s="119" t="s">
        <v>4111</v>
      </c>
      <c r="D268" s="120"/>
      <c r="E268" s="123" t="str">
        <f>エンティティ一覧!$O$2</f>
        <v>milscm_2023_009</v>
      </c>
      <c r="F268" s="36"/>
      <c r="G268" s="36"/>
      <c r="H268" s="36"/>
      <c r="I268" s="36"/>
      <c r="J268" s="36"/>
      <c r="K268" s="36"/>
      <c r="L268" s="36"/>
      <c r="M268" s="36"/>
      <c r="N268" s="36"/>
      <c r="O268" s="36"/>
      <c r="R268" s="119" t="s">
        <v>4160</v>
      </c>
      <c r="S268" s="120"/>
      <c r="T268" s="123" t="str">
        <f>エンティティ一覧!$O$2</f>
        <v>milscm_2023_009</v>
      </c>
      <c r="W268" s="35" t="s">
        <v>3670</v>
      </c>
    </row>
    <row r="269" spans="1:23" ht="18.75" customHeight="1">
      <c r="C269" s="121"/>
      <c r="D269" s="122"/>
      <c r="E269" s="124"/>
      <c r="F269" s="37"/>
      <c r="G269" s="37"/>
      <c r="H269" s="37"/>
      <c r="I269" s="37"/>
      <c r="J269" s="37"/>
      <c r="K269" s="37"/>
      <c r="L269" s="37"/>
      <c r="M269" s="37"/>
      <c r="N269" s="37"/>
      <c r="O269" s="37"/>
      <c r="P269" s="37"/>
      <c r="Q269" s="38"/>
      <c r="R269" s="121"/>
      <c r="S269" s="122"/>
      <c r="T269" s="124"/>
    </row>
    <row r="270" spans="1:23" ht="18.75" customHeight="1">
      <c r="P270" s="39"/>
      <c r="Q270" s="40"/>
    </row>
    <row r="271" spans="1:23" ht="18.75" customHeight="1">
      <c r="H271" s="119" t="s">
        <v>4112</v>
      </c>
      <c r="I271" s="120"/>
      <c r="J271" s="123" t="str">
        <f>エンティティ一覧!$O$2</f>
        <v>milscm_2023_009</v>
      </c>
      <c r="K271" s="36"/>
      <c r="L271" s="36"/>
      <c r="M271" s="36"/>
      <c r="Q271" s="41"/>
    </row>
    <row r="272" spans="1:23" ht="18.75" customHeight="1">
      <c r="H272" s="121"/>
      <c r="I272" s="122"/>
      <c r="J272" s="124"/>
      <c r="K272" s="37"/>
      <c r="L272" s="37"/>
      <c r="M272" s="37"/>
      <c r="N272" s="37"/>
      <c r="O272" s="38"/>
      <c r="P272" s="37"/>
    </row>
    <row r="273" spans="1:23" ht="18.75" customHeight="1">
      <c r="N273" s="39"/>
      <c r="O273" s="40"/>
    </row>
    <row r="274" spans="1:23" ht="18.75" customHeight="1">
      <c r="H274" s="119" t="s">
        <v>3734</v>
      </c>
      <c r="I274" s="120"/>
      <c r="J274" s="123" t="str">
        <f>エンティティ一覧!$O$2</f>
        <v>milscm_2023_009</v>
      </c>
      <c r="M274" s="36"/>
      <c r="O274" s="41"/>
    </row>
    <row r="275" spans="1:23" ht="18.75" customHeight="1">
      <c r="H275" s="121"/>
      <c r="I275" s="122"/>
      <c r="J275" s="124"/>
      <c r="K275" s="37"/>
      <c r="L275" s="38"/>
      <c r="M275" s="37"/>
      <c r="N275" s="37"/>
    </row>
    <row r="276" spans="1:23" ht="18.75" customHeight="1">
      <c r="K276" s="39"/>
      <c r="L276" s="40"/>
    </row>
    <row r="277" spans="1:23" ht="18.75" customHeight="1">
      <c r="H277" s="119" t="s">
        <v>187</v>
      </c>
      <c r="I277" s="120"/>
      <c r="J277" s="123" t="str">
        <f>エンティティ一覧!$O$2</f>
        <v>milscm_2023_009</v>
      </c>
      <c r="L277" s="41"/>
    </row>
    <row r="278" spans="1:23" ht="18.75" customHeight="1">
      <c r="H278" s="121"/>
      <c r="I278" s="122"/>
      <c r="J278" s="124"/>
      <c r="K278" s="37"/>
    </row>
    <row r="280" spans="1:23" ht="18.75" customHeight="1" thickBot="1">
      <c r="B280" s="42"/>
      <c r="C280" s="42"/>
      <c r="D280" s="42"/>
      <c r="E280" s="42"/>
      <c r="F280" s="42"/>
      <c r="G280" s="42"/>
      <c r="H280" s="42"/>
      <c r="I280" s="42"/>
      <c r="J280" s="42"/>
      <c r="K280" s="42"/>
      <c r="L280" s="42"/>
      <c r="M280" s="42"/>
      <c r="N280" s="42"/>
      <c r="O280" s="42"/>
      <c r="P280" s="42"/>
      <c r="Q280" s="42"/>
      <c r="R280" s="42"/>
      <c r="S280" s="42"/>
      <c r="T280" s="42"/>
      <c r="U280" s="42"/>
    </row>
    <row r="282" spans="1:23" ht="18.75" customHeight="1">
      <c r="A282" s="77"/>
      <c r="B282" s="43" t="s">
        <v>163</v>
      </c>
      <c r="C282" s="51" t="s">
        <v>4176</v>
      </c>
      <c r="D282" s="113"/>
      <c r="W282" s="35" t="str">
        <f>"-- "&amp;B282&amp;" : "&amp;C282</f>
        <v>-- SQL_ID : 41_15-02</v>
      </c>
    </row>
    <row r="283" spans="1:23" ht="18.75" customHeight="1">
      <c r="B283" s="43" t="s">
        <v>158</v>
      </c>
      <c r="C283" s="127" t="str">
        <f>R286&amp;"（mmlFs）登録"</f>
        <v>ワーク_身長体重データ_MML（mmlFs）登録</v>
      </c>
      <c r="D283" s="128"/>
      <c r="E283" s="128"/>
      <c r="F283" s="128"/>
      <c r="G283" s="128"/>
      <c r="H283" s="128"/>
      <c r="I283" s="128"/>
      <c r="J283" s="128"/>
      <c r="K283" s="128"/>
      <c r="L283" s="128"/>
      <c r="M283" s="128"/>
      <c r="N283" s="128"/>
      <c r="O283" s="128"/>
      <c r="P283" s="128"/>
      <c r="Q283" s="128"/>
      <c r="R283" s="128"/>
      <c r="S283" s="128"/>
      <c r="T283" s="128"/>
      <c r="U283" s="129"/>
      <c r="W283" s="35" t="str">
        <f>"-- "&amp;C283</f>
        <v>-- ワーク_身長体重データ_MML（mmlFs）登録</v>
      </c>
    </row>
    <row r="284" spans="1:23" ht="18.75" customHeight="1">
      <c r="B284" s="43" t="s">
        <v>159</v>
      </c>
      <c r="C284" s="130" t="str">
        <f>"MMLの身長体重データを抽出し、"&amp;R286&amp;"テーブルに格納する。"</f>
        <v>MMLの身長体重データを抽出し、ワーク_身長体重データ_MMLテーブルに格納する。</v>
      </c>
      <c r="D284" s="131"/>
      <c r="E284" s="131"/>
      <c r="F284" s="131"/>
      <c r="G284" s="131"/>
      <c r="H284" s="131"/>
      <c r="I284" s="131"/>
      <c r="J284" s="131"/>
      <c r="K284" s="131"/>
      <c r="L284" s="131"/>
      <c r="M284" s="131"/>
      <c r="N284" s="131"/>
      <c r="O284" s="131"/>
      <c r="P284" s="131"/>
      <c r="Q284" s="131"/>
      <c r="R284" s="131"/>
      <c r="S284" s="131"/>
      <c r="T284" s="131"/>
      <c r="U284" s="132"/>
      <c r="W284" s="35" t="str">
        <f>"-- "&amp;C284</f>
        <v>-- MMLの身長体重データを抽出し、ワーク_身長体重データ_MMLテーブルに格納する。</v>
      </c>
    </row>
    <row r="286" spans="1:23" ht="18.75" customHeight="1">
      <c r="C286" s="119" t="s">
        <v>4109</v>
      </c>
      <c r="D286" s="120"/>
      <c r="E286" s="123" t="str">
        <f>エンティティ一覧!$O$2</f>
        <v>milscm_2023_009</v>
      </c>
      <c r="F286" s="36"/>
      <c r="G286" s="36"/>
      <c r="H286" s="36"/>
      <c r="I286" s="36"/>
      <c r="J286" s="36"/>
      <c r="K286" s="36"/>
      <c r="L286" s="36"/>
      <c r="M286" s="36"/>
      <c r="N286" s="36"/>
      <c r="O286" s="36"/>
      <c r="R286" s="119" t="s">
        <v>4160</v>
      </c>
      <c r="S286" s="120"/>
      <c r="T286" s="123" t="str">
        <f>エンティティ一覧!$O$2</f>
        <v>milscm_2023_009</v>
      </c>
      <c r="W286" s="35" t="s">
        <v>3670</v>
      </c>
    </row>
    <row r="287" spans="1:23" ht="18.75" customHeight="1">
      <c r="C287" s="121"/>
      <c r="D287" s="122"/>
      <c r="E287" s="124"/>
      <c r="F287" s="37"/>
      <c r="G287" s="37"/>
      <c r="H287" s="37"/>
      <c r="I287" s="37"/>
      <c r="J287" s="37"/>
      <c r="K287" s="37"/>
      <c r="L287" s="37"/>
      <c r="M287" s="37"/>
      <c r="N287" s="37"/>
      <c r="O287" s="37"/>
      <c r="P287" s="37"/>
      <c r="Q287" s="38"/>
      <c r="R287" s="121"/>
      <c r="S287" s="122"/>
      <c r="T287" s="124"/>
    </row>
    <row r="288" spans="1:23" ht="18.75" customHeight="1">
      <c r="P288" s="39"/>
      <c r="Q288" s="40"/>
    </row>
    <row r="289" spans="2:23" ht="18.75" customHeight="1">
      <c r="H289" s="119" t="s">
        <v>4177</v>
      </c>
      <c r="I289" s="120"/>
      <c r="J289" s="123" t="str">
        <f>エンティティ一覧!$O$2</f>
        <v>milscm_2023_009</v>
      </c>
      <c r="K289" s="36"/>
      <c r="L289" s="36"/>
      <c r="M289" s="36"/>
      <c r="Q289" s="41"/>
    </row>
    <row r="290" spans="2:23" ht="18.75" customHeight="1">
      <c r="H290" s="121"/>
      <c r="I290" s="122"/>
      <c r="J290" s="124"/>
      <c r="K290" s="37"/>
      <c r="L290" s="37"/>
      <c r="M290" s="37"/>
      <c r="N290" s="37"/>
      <c r="O290" s="38"/>
      <c r="P290" s="37"/>
    </row>
    <row r="291" spans="2:23" ht="18.75" customHeight="1">
      <c r="N291" s="39"/>
      <c r="O291" s="40"/>
    </row>
    <row r="292" spans="2:23" ht="18.75" customHeight="1">
      <c r="H292" s="119" t="s">
        <v>3734</v>
      </c>
      <c r="I292" s="120"/>
      <c r="J292" s="123" t="str">
        <f>エンティティ一覧!$O$2</f>
        <v>milscm_2023_009</v>
      </c>
      <c r="M292" s="36"/>
      <c r="O292" s="41"/>
    </row>
    <row r="293" spans="2:23" ht="18.75" customHeight="1">
      <c r="H293" s="121"/>
      <c r="I293" s="122"/>
      <c r="J293" s="124"/>
      <c r="K293" s="37"/>
      <c r="L293" s="38"/>
      <c r="M293" s="37"/>
      <c r="N293" s="37"/>
    </row>
    <row r="294" spans="2:23" ht="18.75" customHeight="1">
      <c r="K294" s="39"/>
      <c r="L294" s="40"/>
    </row>
    <row r="295" spans="2:23" ht="18.75" customHeight="1">
      <c r="H295" s="119" t="s">
        <v>187</v>
      </c>
      <c r="I295" s="120"/>
      <c r="J295" s="123" t="str">
        <f>エンティティ一覧!$O$2</f>
        <v>milscm_2023_009</v>
      </c>
      <c r="L295" s="41"/>
    </row>
    <row r="296" spans="2:23" ht="18.75" customHeight="1">
      <c r="H296" s="121"/>
      <c r="I296" s="122"/>
      <c r="J296" s="124"/>
      <c r="K296" s="37"/>
    </row>
    <row r="298" spans="2:23" ht="18.75" customHeight="1" thickBot="1">
      <c r="B298" s="42"/>
      <c r="C298" s="42"/>
      <c r="D298" s="42"/>
      <c r="E298" s="42"/>
      <c r="F298" s="42"/>
      <c r="G298" s="42"/>
      <c r="H298" s="42"/>
      <c r="I298" s="42"/>
      <c r="J298" s="42"/>
      <c r="K298" s="42"/>
      <c r="L298" s="42"/>
      <c r="M298" s="42"/>
      <c r="N298" s="42"/>
      <c r="O298" s="42"/>
      <c r="P298" s="42"/>
      <c r="Q298" s="42"/>
      <c r="R298" s="42"/>
      <c r="S298" s="42"/>
      <c r="T298" s="42"/>
      <c r="U298" s="42"/>
    </row>
    <row r="300" spans="2:23" ht="18.75" customHeight="1">
      <c r="B300" s="43" t="s">
        <v>163</v>
      </c>
      <c r="C300" s="51" t="s">
        <v>4149</v>
      </c>
      <c r="D300" s="113"/>
      <c r="W300" s="35" t="str">
        <f>"-- "&amp;B300&amp;" : "&amp;C300</f>
        <v>-- SQL_ID : 41_16</v>
      </c>
    </row>
    <row r="301" spans="2:23" ht="18.75" customHeight="1">
      <c r="B301" s="43" t="s">
        <v>158</v>
      </c>
      <c r="C301" s="127" t="str">
        <f>R304&amp;"登録"</f>
        <v>ワーク_身長体重データ登録</v>
      </c>
      <c r="D301" s="128"/>
      <c r="E301" s="128"/>
      <c r="F301" s="128"/>
      <c r="G301" s="128"/>
      <c r="H301" s="128"/>
      <c r="I301" s="128"/>
      <c r="J301" s="128"/>
      <c r="K301" s="128"/>
      <c r="L301" s="128"/>
      <c r="M301" s="128"/>
      <c r="N301" s="128"/>
      <c r="O301" s="128"/>
      <c r="P301" s="128"/>
      <c r="Q301" s="128"/>
      <c r="R301" s="128"/>
      <c r="S301" s="128"/>
      <c r="T301" s="128"/>
      <c r="U301" s="129"/>
      <c r="W301" s="35" t="str">
        <f>"-- "&amp;C301</f>
        <v>-- ワーク_身長体重データ登録</v>
      </c>
    </row>
    <row r="302" spans="2:23" ht="18.75" customHeight="1">
      <c r="B302" s="43" t="s">
        <v>159</v>
      </c>
      <c r="C302" s="130" t="str">
        <f>"身長体重データを抽出し、"&amp;R304&amp;"テーブルに格納する。"</f>
        <v>身長体重データを抽出し、ワーク_身長体重データテーブルに格納する。</v>
      </c>
      <c r="D302" s="131"/>
      <c r="E302" s="131"/>
      <c r="F302" s="131"/>
      <c r="G302" s="131"/>
      <c r="H302" s="131"/>
      <c r="I302" s="131"/>
      <c r="J302" s="131"/>
      <c r="K302" s="131"/>
      <c r="L302" s="131"/>
      <c r="M302" s="131"/>
      <c r="N302" s="131"/>
      <c r="O302" s="131"/>
      <c r="P302" s="131"/>
      <c r="Q302" s="131"/>
      <c r="R302" s="131"/>
      <c r="S302" s="131"/>
      <c r="T302" s="131"/>
      <c r="U302" s="132"/>
      <c r="W302" s="35" t="str">
        <f>"-- "&amp;C302</f>
        <v>-- 身長体重データを抽出し、ワーク_身長体重データテーブルに格納する。</v>
      </c>
    </row>
    <row r="304" spans="2:23" ht="18.75" customHeight="1">
      <c r="C304" s="119" t="s">
        <v>4158</v>
      </c>
      <c r="D304" s="120"/>
      <c r="E304" s="123" t="str">
        <f>エンティティ一覧!$O$2</f>
        <v>milscm_2023_009</v>
      </c>
      <c r="H304" s="36"/>
      <c r="I304" s="36"/>
      <c r="J304" s="36"/>
      <c r="K304" s="36"/>
      <c r="L304" s="36"/>
      <c r="M304" s="36"/>
      <c r="N304" s="36"/>
      <c r="O304" s="36"/>
      <c r="P304" s="36"/>
      <c r="Q304" s="36"/>
      <c r="R304" s="119" t="s">
        <v>4161</v>
      </c>
      <c r="S304" s="120"/>
      <c r="T304" s="123" t="str">
        <f>エンティティ一覧!$O$2</f>
        <v>milscm_2023_009</v>
      </c>
    </row>
    <row r="305" spans="2:23" ht="18.75" customHeight="1">
      <c r="C305" s="121"/>
      <c r="D305" s="122"/>
      <c r="E305" s="124"/>
      <c r="F305" s="37"/>
      <c r="G305" s="38"/>
      <c r="H305" s="37"/>
      <c r="I305" s="37"/>
      <c r="J305" s="37"/>
      <c r="K305" s="37"/>
      <c r="L305" s="37"/>
      <c r="M305" s="37"/>
      <c r="N305" s="37"/>
      <c r="O305" s="37"/>
      <c r="P305" s="37"/>
      <c r="Q305" s="37"/>
      <c r="R305" s="121"/>
      <c r="S305" s="122"/>
      <c r="T305" s="124"/>
    </row>
    <row r="306" spans="2:23" ht="18.75" customHeight="1">
      <c r="F306" s="39"/>
      <c r="G306" s="40"/>
    </row>
    <row r="307" spans="2:23" ht="18.75" customHeight="1">
      <c r="C307" s="119" t="s">
        <v>4160</v>
      </c>
      <c r="D307" s="120"/>
      <c r="E307" s="123" t="str">
        <f>エンティティ一覧!$O$2</f>
        <v>milscm_2023_009</v>
      </c>
      <c r="G307" s="41"/>
    </row>
    <row r="308" spans="2:23" ht="18.75" customHeight="1">
      <c r="C308" s="121"/>
      <c r="D308" s="122"/>
      <c r="E308" s="124"/>
      <c r="F308" s="37"/>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4162</v>
      </c>
      <c r="D312" s="113"/>
      <c r="W312" s="35" t="str">
        <f>"-- "&amp;B312&amp;" : "&amp;C312</f>
        <v>-- SQL_ID : 41_17_01</v>
      </c>
    </row>
    <row r="313" spans="2:23" ht="18.75" customHeight="1">
      <c r="B313" s="43" t="s">
        <v>158</v>
      </c>
      <c r="C313" s="127" t="str">
        <f>R316&amp;"登録"</f>
        <v>ワーク_テキスト情報_一時登録</v>
      </c>
      <c r="D313" s="128"/>
      <c r="E313" s="128"/>
      <c r="F313" s="128"/>
      <c r="G313" s="128"/>
      <c r="H313" s="128"/>
      <c r="I313" s="128"/>
      <c r="J313" s="128"/>
      <c r="K313" s="128"/>
      <c r="L313" s="128"/>
      <c r="M313" s="128"/>
      <c r="N313" s="128"/>
      <c r="O313" s="128"/>
      <c r="P313" s="128"/>
      <c r="Q313" s="128"/>
      <c r="R313" s="128"/>
      <c r="S313" s="128"/>
      <c r="T313" s="128"/>
      <c r="U313" s="129"/>
      <c r="W313" s="35" t="str">
        <f>"-- "&amp;C313</f>
        <v>-- ワーク_テキスト情報_一時登録</v>
      </c>
    </row>
    <row r="314" spans="2:23" ht="18.75" customHeight="1">
      <c r="B314" s="43" t="s">
        <v>159</v>
      </c>
      <c r="C314" s="130" t="str">
        <f>"MMLのテキストデータを抽出し、"&amp;R316&amp;"テーブルに格納する。"</f>
        <v>MMLのテキストデータを抽出し、ワーク_テキスト情報_一時テーブルに格納する。</v>
      </c>
      <c r="D314" s="131"/>
      <c r="E314" s="131"/>
      <c r="F314" s="131"/>
      <c r="G314" s="131"/>
      <c r="H314" s="131"/>
      <c r="I314" s="131"/>
      <c r="J314" s="131"/>
      <c r="K314" s="131"/>
      <c r="L314" s="131"/>
      <c r="M314" s="131"/>
      <c r="N314" s="131"/>
      <c r="O314" s="131"/>
      <c r="P314" s="131"/>
      <c r="Q314" s="131"/>
      <c r="R314" s="131"/>
      <c r="S314" s="131"/>
      <c r="T314" s="131"/>
      <c r="U314" s="132"/>
      <c r="W314" s="35" t="str">
        <f>"-- "&amp;C314</f>
        <v>-- MMLのテキストデータを抽出し、ワーク_テキスト情報_一時テーブルに格納する。</v>
      </c>
    </row>
    <row r="316" spans="2:23" ht="18.75" customHeight="1">
      <c r="C316" s="133" t="s">
        <v>3680</v>
      </c>
      <c r="D316" s="134"/>
      <c r="E316" s="123" t="str">
        <f>エンティティ一覧!$O$2</f>
        <v>milscm_2023_009</v>
      </c>
      <c r="F316" s="36"/>
      <c r="G316" s="36"/>
      <c r="H316" s="36"/>
      <c r="I316" s="36"/>
      <c r="J316" s="36"/>
      <c r="K316" s="36"/>
      <c r="L316" s="36"/>
      <c r="M316" s="36"/>
      <c r="N316" s="36"/>
      <c r="O316" s="36"/>
      <c r="R316" s="119" t="s">
        <v>4152</v>
      </c>
      <c r="S316" s="120"/>
      <c r="T316" s="123" t="str">
        <f>エンティティ一覧!$O$2</f>
        <v>milscm_2023_009</v>
      </c>
    </row>
    <row r="317" spans="2:23" ht="18.75" customHeight="1">
      <c r="C317" s="135"/>
      <c r="D317" s="136"/>
      <c r="E317" s="124"/>
      <c r="F317" s="37"/>
      <c r="G317" s="37"/>
      <c r="H317" s="37"/>
      <c r="I317" s="37"/>
      <c r="J317" s="37"/>
      <c r="K317" s="37"/>
      <c r="L317" s="37"/>
      <c r="M317" s="37"/>
      <c r="N317" s="37"/>
      <c r="O317" s="37"/>
      <c r="P317" s="37"/>
      <c r="Q317" s="37"/>
      <c r="R317" s="121"/>
      <c r="S317" s="122"/>
      <c r="T317" s="124"/>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4163</v>
      </c>
      <c r="D321" s="113"/>
      <c r="W321" s="35" t="str">
        <f>"-- "&amp;B321&amp;" : "&amp;C321</f>
        <v>-- SQL_ID : 41_17_02</v>
      </c>
    </row>
    <row r="322" spans="2:23" ht="18.75" customHeight="1">
      <c r="B322" s="43" t="s">
        <v>158</v>
      </c>
      <c r="C322" s="127" t="str">
        <f>R325&amp;"登録"</f>
        <v>ワーク_テキスト情報_一時登録</v>
      </c>
      <c r="D322" s="128"/>
      <c r="E322" s="128"/>
      <c r="F322" s="128"/>
      <c r="G322" s="128"/>
      <c r="H322" s="128"/>
      <c r="I322" s="128"/>
      <c r="J322" s="128"/>
      <c r="K322" s="128"/>
      <c r="L322" s="128"/>
      <c r="M322" s="128"/>
      <c r="N322" s="128"/>
      <c r="O322" s="128"/>
      <c r="P322" s="128"/>
      <c r="Q322" s="128"/>
      <c r="R322" s="128"/>
      <c r="S322" s="128"/>
      <c r="T322" s="128"/>
      <c r="U322" s="129"/>
      <c r="W322" s="35" t="str">
        <f>"-- "&amp;C322</f>
        <v>-- ワーク_テキスト情報_一時登録</v>
      </c>
    </row>
    <row r="323" spans="2:23" ht="18.75" customHeight="1">
      <c r="B323" s="43" t="s">
        <v>159</v>
      </c>
      <c r="C323" s="130" t="str">
        <f>"MMLのテキストデータを抽出し、"&amp;R325&amp;"テーブルに格納する。"</f>
        <v>MMLのテキストデータを抽出し、ワーク_テキスト情報_一時テーブルに格納する。</v>
      </c>
      <c r="D323" s="131"/>
      <c r="E323" s="131"/>
      <c r="F323" s="131"/>
      <c r="G323" s="131"/>
      <c r="H323" s="131"/>
      <c r="I323" s="131"/>
      <c r="J323" s="131"/>
      <c r="K323" s="131"/>
      <c r="L323" s="131"/>
      <c r="M323" s="131"/>
      <c r="N323" s="131"/>
      <c r="O323" s="131"/>
      <c r="P323" s="131"/>
      <c r="Q323" s="131"/>
      <c r="R323" s="131"/>
      <c r="S323" s="131"/>
      <c r="T323" s="131"/>
      <c r="U323" s="132"/>
      <c r="W323" s="35" t="str">
        <f>"-- "&amp;C323</f>
        <v>-- MMLのテキストデータを抽出し、ワーク_テキスト情報_一時テーブルに格納する。</v>
      </c>
    </row>
    <row r="325" spans="2:23" ht="18.75" customHeight="1">
      <c r="C325" s="133" t="s">
        <v>3683</v>
      </c>
      <c r="D325" s="134"/>
      <c r="E325" s="123" t="str">
        <f>エンティティ一覧!$O$2</f>
        <v>milscm_2023_009</v>
      </c>
      <c r="F325" s="36"/>
      <c r="G325" s="36"/>
      <c r="H325" s="36"/>
      <c r="I325" s="36"/>
      <c r="J325" s="36"/>
      <c r="K325" s="36"/>
      <c r="L325" s="36"/>
      <c r="M325" s="36"/>
      <c r="N325" s="36"/>
      <c r="O325" s="36"/>
      <c r="R325" s="119" t="s">
        <v>4152</v>
      </c>
      <c r="S325" s="120"/>
      <c r="T325" s="123" t="str">
        <f>エンティティ一覧!$O$2</f>
        <v>milscm_2023_009</v>
      </c>
    </row>
    <row r="326" spans="2:23" ht="18.75" customHeight="1">
      <c r="C326" s="135"/>
      <c r="D326" s="136"/>
      <c r="E326" s="124"/>
      <c r="F326" s="37"/>
      <c r="G326" s="37"/>
      <c r="H326" s="37"/>
      <c r="I326" s="37"/>
      <c r="J326" s="37"/>
      <c r="K326" s="37"/>
      <c r="L326" s="37"/>
      <c r="M326" s="37"/>
      <c r="N326" s="37"/>
      <c r="O326" s="37"/>
      <c r="P326" s="37"/>
      <c r="Q326" s="37"/>
      <c r="R326" s="121"/>
      <c r="S326" s="122"/>
      <c r="T326" s="124"/>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4164</v>
      </c>
      <c r="D330" s="113"/>
      <c r="W330" s="35" t="str">
        <f>"-- "&amp;B330&amp;" : "&amp;C330</f>
        <v>-- SQL_ID : 41_17_03</v>
      </c>
    </row>
    <row r="331" spans="2:23" ht="18.75" customHeight="1">
      <c r="B331" s="43" t="s">
        <v>158</v>
      </c>
      <c r="C331" s="127" t="str">
        <f>R334&amp;"登録"</f>
        <v>ワーク_テキスト情報_一時登録</v>
      </c>
      <c r="D331" s="128"/>
      <c r="E331" s="128"/>
      <c r="F331" s="128"/>
      <c r="G331" s="128"/>
      <c r="H331" s="128"/>
      <c r="I331" s="128"/>
      <c r="J331" s="128"/>
      <c r="K331" s="128"/>
      <c r="L331" s="128"/>
      <c r="M331" s="128"/>
      <c r="N331" s="128"/>
      <c r="O331" s="128"/>
      <c r="P331" s="128"/>
      <c r="Q331" s="128"/>
      <c r="R331" s="128"/>
      <c r="S331" s="128"/>
      <c r="T331" s="128"/>
      <c r="U331" s="129"/>
      <c r="W331" s="35" t="str">
        <f>"-- "&amp;C331</f>
        <v>-- ワーク_テキスト情報_一時登録</v>
      </c>
    </row>
    <row r="332" spans="2:23" ht="18.75" customHeight="1">
      <c r="B332" s="43" t="s">
        <v>159</v>
      </c>
      <c r="C332" s="130" t="str">
        <f>"MMLのテキストデータを抽出し、"&amp;R334&amp;"テーブルに格納する。"</f>
        <v>MMLのテキストデータを抽出し、ワーク_テキスト情報_一時テーブルに格納する。</v>
      </c>
      <c r="D332" s="131"/>
      <c r="E332" s="131"/>
      <c r="F332" s="131"/>
      <c r="G332" s="131"/>
      <c r="H332" s="131"/>
      <c r="I332" s="131"/>
      <c r="J332" s="131"/>
      <c r="K332" s="131"/>
      <c r="L332" s="131"/>
      <c r="M332" s="131"/>
      <c r="N332" s="131"/>
      <c r="O332" s="131"/>
      <c r="P332" s="131"/>
      <c r="Q332" s="131"/>
      <c r="R332" s="131"/>
      <c r="S332" s="131"/>
      <c r="T332" s="131"/>
      <c r="U332" s="132"/>
      <c r="W332" s="35" t="str">
        <f>"-- "&amp;C332</f>
        <v>-- MMLのテキストデータを抽出し、ワーク_テキスト情報_一時テーブルに格納する。</v>
      </c>
    </row>
    <row r="334" spans="2:23" ht="18.75" customHeight="1">
      <c r="C334" s="133" t="s">
        <v>3684</v>
      </c>
      <c r="D334" s="134"/>
      <c r="E334" s="123" t="str">
        <f>エンティティ一覧!$O$2</f>
        <v>milscm_2023_009</v>
      </c>
      <c r="F334" s="36"/>
      <c r="G334" s="36"/>
      <c r="H334" s="36"/>
      <c r="I334" s="36"/>
      <c r="J334" s="36"/>
      <c r="K334" s="36"/>
      <c r="L334" s="36"/>
      <c r="M334" s="36"/>
      <c r="N334" s="36"/>
      <c r="O334" s="36"/>
      <c r="R334" s="119" t="s">
        <v>4152</v>
      </c>
      <c r="S334" s="120"/>
      <c r="T334" s="123" t="str">
        <f>エンティティ一覧!$O$2</f>
        <v>milscm_2023_009</v>
      </c>
    </row>
    <row r="335" spans="2:23" ht="18.75" customHeight="1">
      <c r="C335" s="135"/>
      <c r="D335" s="136"/>
      <c r="E335" s="124"/>
      <c r="F335" s="37"/>
      <c r="G335" s="37"/>
      <c r="H335" s="37"/>
      <c r="I335" s="37"/>
      <c r="J335" s="37"/>
      <c r="K335" s="37"/>
      <c r="L335" s="37"/>
      <c r="M335" s="37"/>
      <c r="N335" s="37"/>
      <c r="O335" s="37"/>
      <c r="P335" s="37"/>
      <c r="Q335" s="37"/>
      <c r="R335" s="121"/>
      <c r="S335" s="122"/>
      <c r="T335" s="124"/>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4165</v>
      </c>
      <c r="D339" s="113"/>
      <c r="W339" s="35" t="str">
        <f>"-- "&amp;B339&amp;" : "&amp;C339</f>
        <v>-- SQL_ID : 41_17_04</v>
      </c>
    </row>
    <row r="340" spans="2:23" ht="18.75" customHeight="1">
      <c r="B340" s="43" t="s">
        <v>158</v>
      </c>
      <c r="C340" s="127" t="str">
        <f>R343&amp;"登録"</f>
        <v>ワーク_テキスト情報_一時登録</v>
      </c>
      <c r="D340" s="128"/>
      <c r="E340" s="128"/>
      <c r="F340" s="128"/>
      <c r="G340" s="128"/>
      <c r="H340" s="128"/>
      <c r="I340" s="128"/>
      <c r="J340" s="128"/>
      <c r="K340" s="128"/>
      <c r="L340" s="128"/>
      <c r="M340" s="128"/>
      <c r="N340" s="128"/>
      <c r="O340" s="128"/>
      <c r="P340" s="128"/>
      <c r="Q340" s="128"/>
      <c r="R340" s="128"/>
      <c r="S340" s="128"/>
      <c r="T340" s="128"/>
      <c r="U340" s="129"/>
      <c r="W340" s="35" t="str">
        <f>"-- "&amp;C340</f>
        <v>-- ワーク_テキスト情報_一時登録</v>
      </c>
    </row>
    <row r="341" spans="2:23" ht="18.75" customHeight="1">
      <c r="B341" s="43" t="s">
        <v>159</v>
      </c>
      <c r="C341" s="130" t="str">
        <f>"MMLのテキストデータを抽出し、"&amp;R343&amp;"テーブルに格納する。"</f>
        <v>MMLのテキストデータを抽出し、ワーク_テキスト情報_一時テーブルに格納する。</v>
      </c>
      <c r="D341" s="131"/>
      <c r="E341" s="131"/>
      <c r="F341" s="131"/>
      <c r="G341" s="131"/>
      <c r="H341" s="131"/>
      <c r="I341" s="131"/>
      <c r="J341" s="131"/>
      <c r="K341" s="131"/>
      <c r="L341" s="131"/>
      <c r="M341" s="131"/>
      <c r="N341" s="131"/>
      <c r="O341" s="131"/>
      <c r="P341" s="131"/>
      <c r="Q341" s="131"/>
      <c r="R341" s="131"/>
      <c r="S341" s="131"/>
      <c r="T341" s="131"/>
      <c r="U341" s="132"/>
      <c r="W341" s="35" t="str">
        <f>"-- "&amp;C341</f>
        <v>-- MMLのテキストデータを抽出し、ワーク_テキスト情報_一時テーブルに格納する。</v>
      </c>
    </row>
    <row r="343" spans="2:23" ht="18.75" customHeight="1">
      <c r="C343" s="133" t="s">
        <v>3681</v>
      </c>
      <c r="D343" s="134"/>
      <c r="E343" s="123" t="str">
        <f>エンティティ一覧!$O$2</f>
        <v>milscm_2023_009</v>
      </c>
      <c r="F343" s="36"/>
      <c r="G343" s="36"/>
      <c r="H343" s="36"/>
      <c r="I343" s="36"/>
      <c r="J343" s="36"/>
      <c r="K343" s="36"/>
      <c r="L343" s="36"/>
      <c r="M343" s="36"/>
      <c r="N343" s="36"/>
      <c r="O343" s="36"/>
      <c r="R343" s="119" t="s">
        <v>4152</v>
      </c>
      <c r="S343" s="120"/>
      <c r="T343" s="123" t="str">
        <f>エンティティ一覧!$O$2</f>
        <v>milscm_2023_009</v>
      </c>
    </row>
    <row r="344" spans="2:23" ht="18.75" customHeight="1">
      <c r="C344" s="135"/>
      <c r="D344" s="136"/>
      <c r="E344" s="124"/>
      <c r="F344" s="37"/>
      <c r="G344" s="37"/>
      <c r="H344" s="37"/>
      <c r="I344" s="37"/>
      <c r="J344" s="37"/>
      <c r="K344" s="37"/>
      <c r="L344" s="37"/>
      <c r="M344" s="37"/>
      <c r="N344" s="37"/>
      <c r="O344" s="37"/>
      <c r="P344" s="37"/>
      <c r="Q344" s="37"/>
      <c r="R344" s="121"/>
      <c r="S344" s="122"/>
      <c r="T344" s="124"/>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4166</v>
      </c>
      <c r="D348" s="113"/>
      <c r="W348" s="35" t="str">
        <f>"-- "&amp;B348&amp;" : "&amp;C348</f>
        <v>-- SQL_ID : 41_17_05</v>
      </c>
    </row>
    <row r="349" spans="2:23" ht="18.75" customHeight="1">
      <c r="B349" s="43" t="s">
        <v>158</v>
      </c>
      <c r="C349" s="127" t="str">
        <f>R352&amp;"登録"</f>
        <v>ワーク_テキスト情報_一時登録</v>
      </c>
      <c r="D349" s="128"/>
      <c r="E349" s="128"/>
      <c r="F349" s="128"/>
      <c r="G349" s="128"/>
      <c r="H349" s="128"/>
      <c r="I349" s="128"/>
      <c r="J349" s="128"/>
      <c r="K349" s="128"/>
      <c r="L349" s="128"/>
      <c r="M349" s="128"/>
      <c r="N349" s="128"/>
      <c r="O349" s="128"/>
      <c r="P349" s="128"/>
      <c r="Q349" s="128"/>
      <c r="R349" s="128"/>
      <c r="S349" s="128"/>
      <c r="T349" s="128"/>
      <c r="U349" s="129"/>
      <c r="W349" s="35" t="str">
        <f>"-- "&amp;C349</f>
        <v>-- ワーク_テキスト情報_一時登録</v>
      </c>
    </row>
    <row r="350" spans="2:23" ht="18.75" customHeight="1">
      <c r="B350" s="43" t="s">
        <v>159</v>
      </c>
      <c r="C350" s="130" t="str">
        <f>"MMLのテキストデータを抽出し、"&amp;R352&amp;"テーブルに格納する。"</f>
        <v>MMLのテキストデータを抽出し、ワーク_テキスト情報_一時テーブルに格納する。</v>
      </c>
      <c r="D350" s="131"/>
      <c r="E350" s="131"/>
      <c r="F350" s="131"/>
      <c r="G350" s="131"/>
      <c r="H350" s="131"/>
      <c r="I350" s="131"/>
      <c r="J350" s="131"/>
      <c r="K350" s="131"/>
      <c r="L350" s="131"/>
      <c r="M350" s="131"/>
      <c r="N350" s="131"/>
      <c r="O350" s="131"/>
      <c r="P350" s="131"/>
      <c r="Q350" s="131"/>
      <c r="R350" s="131"/>
      <c r="S350" s="131"/>
      <c r="T350" s="131"/>
      <c r="U350" s="132"/>
      <c r="W350" s="35" t="str">
        <f>"-- "&amp;C350</f>
        <v>-- MMLのテキストデータを抽出し、ワーク_テキスト情報_一時テーブルに格納する。</v>
      </c>
    </row>
    <row r="352" spans="2:23" ht="18.75" customHeight="1">
      <c r="C352" s="133" t="s">
        <v>3681</v>
      </c>
      <c r="D352" s="134"/>
      <c r="E352" s="123" t="str">
        <f>エンティティ一覧!$O$2</f>
        <v>milscm_2023_009</v>
      </c>
      <c r="F352" s="36"/>
      <c r="G352" s="36"/>
      <c r="H352" s="36"/>
      <c r="I352" s="36"/>
      <c r="J352" s="36"/>
      <c r="K352" s="36"/>
      <c r="L352" s="36"/>
      <c r="M352" s="36"/>
      <c r="N352" s="36"/>
      <c r="O352" s="36"/>
      <c r="R352" s="119" t="s">
        <v>4152</v>
      </c>
      <c r="S352" s="120"/>
      <c r="T352" s="123" t="str">
        <f>エンティティ一覧!$O$2</f>
        <v>milscm_2023_009</v>
      </c>
    </row>
    <row r="353" spans="2:23" ht="18.75" customHeight="1">
      <c r="C353" s="135"/>
      <c r="D353" s="136"/>
      <c r="E353" s="124"/>
      <c r="F353" s="37"/>
      <c r="G353" s="37"/>
      <c r="H353" s="37"/>
      <c r="I353" s="37"/>
      <c r="J353" s="37"/>
      <c r="K353" s="37"/>
      <c r="L353" s="37"/>
      <c r="M353" s="37"/>
      <c r="N353" s="37"/>
      <c r="O353" s="37"/>
      <c r="P353" s="37"/>
      <c r="Q353" s="37"/>
      <c r="R353" s="121"/>
      <c r="S353" s="122"/>
      <c r="T353" s="124"/>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4167</v>
      </c>
      <c r="D357" s="113"/>
      <c r="W357" s="35" t="str">
        <f>"-- "&amp;B357&amp;" : "&amp;C357</f>
        <v>-- SQL_ID : 41_17_06</v>
      </c>
    </row>
    <row r="358" spans="2:23" ht="18.75" customHeight="1">
      <c r="B358" s="43" t="s">
        <v>158</v>
      </c>
      <c r="C358" s="127" t="str">
        <f>R361&amp;"登録"</f>
        <v>ワーク_テキスト情報_一時登録</v>
      </c>
      <c r="D358" s="128"/>
      <c r="E358" s="128"/>
      <c r="F358" s="128"/>
      <c r="G358" s="128"/>
      <c r="H358" s="128"/>
      <c r="I358" s="128"/>
      <c r="J358" s="128"/>
      <c r="K358" s="128"/>
      <c r="L358" s="128"/>
      <c r="M358" s="128"/>
      <c r="N358" s="128"/>
      <c r="O358" s="128"/>
      <c r="P358" s="128"/>
      <c r="Q358" s="128"/>
      <c r="R358" s="128"/>
      <c r="S358" s="128"/>
      <c r="T358" s="128"/>
      <c r="U358" s="129"/>
      <c r="W358" s="35" t="str">
        <f>"-- "&amp;C358</f>
        <v>-- ワーク_テキスト情報_一時登録</v>
      </c>
    </row>
    <row r="359" spans="2:23" ht="18.75" customHeight="1">
      <c r="B359" s="43" t="s">
        <v>159</v>
      </c>
      <c r="C359" s="130" t="str">
        <f>"MMLのテキストデータを抽出し、"&amp;R361&amp;"テーブルに格納する。"</f>
        <v>MMLのテキストデータを抽出し、ワーク_テキスト情報_一時テーブルに格納する。</v>
      </c>
      <c r="D359" s="131"/>
      <c r="E359" s="131"/>
      <c r="F359" s="131"/>
      <c r="G359" s="131"/>
      <c r="H359" s="131"/>
      <c r="I359" s="131"/>
      <c r="J359" s="131"/>
      <c r="K359" s="131"/>
      <c r="L359" s="131"/>
      <c r="M359" s="131"/>
      <c r="N359" s="131"/>
      <c r="O359" s="131"/>
      <c r="P359" s="131"/>
      <c r="Q359" s="131"/>
      <c r="R359" s="131"/>
      <c r="S359" s="131"/>
      <c r="T359" s="131"/>
      <c r="U359" s="132"/>
      <c r="W359" s="35" t="str">
        <f>"-- "&amp;C359</f>
        <v>-- MMLのテキストデータを抽出し、ワーク_テキスト情報_一時テーブルに格納する。</v>
      </c>
    </row>
    <row r="361" spans="2:23" ht="18.75" customHeight="1">
      <c r="C361" s="133" t="s">
        <v>3681</v>
      </c>
      <c r="D361" s="134"/>
      <c r="E361" s="123" t="str">
        <f>エンティティ一覧!$O$2</f>
        <v>milscm_2023_009</v>
      </c>
      <c r="F361" s="36"/>
      <c r="G361" s="36"/>
      <c r="H361" s="36"/>
      <c r="I361" s="36"/>
      <c r="J361" s="36"/>
      <c r="K361" s="36"/>
      <c r="L361" s="36"/>
      <c r="M361" s="36"/>
      <c r="N361" s="36"/>
      <c r="O361" s="36"/>
      <c r="R361" s="119" t="s">
        <v>4152</v>
      </c>
      <c r="S361" s="120"/>
      <c r="T361" s="123" t="str">
        <f>エンティティ一覧!$O$2</f>
        <v>milscm_2023_009</v>
      </c>
    </row>
    <row r="362" spans="2:23" ht="18.75" customHeight="1">
      <c r="C362" s="135"/>
      <c r="D362" s="136"/>
      <c r="E362" s="124"/>
      <c r="F362" s="37"/>
      <c r="G362" s="37"/>
      <c r="H362" s="37"/>
      <c r="I362" s="37"/>
      <c r="J362" s="37"/>
      <c r="K362" s="37"/>
      <c r="L362" s="37"/>
      <c r="M362" s="37"/>
      <c r="N362" s="37"/>
      <c r="O362" s="37"/>
      <c r="P362" s="37"/>
      <c r="Q362" s="37"/>
      <c r="R362" s="121"/>
      <c r="S362" s="122"/>
      <c r="T362" s="124"/>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4168</v>
      </c>
      <c r="D366" s="113"/>
      <c r="W366" s="35" t="str">
        <f>"-- "&amp;B366&amp;" : "&amp;C366</f>
        <v>-- SQL_ID : 41_17_07</v>
      </c>
    </row>
    <row r="367" spans="2:23" ht="18.75" customHeight="1">
      <c r="B367" s="43" t="s">
        <v>158</v>
      </c>
      <c r="C367" s="127" t="str">
        <f>R370&amp;"登録"</f>
        <v>ワーク_テキスト情報_一時登録</v>
      </c>
      <c r="D367" s="128"/>
      <c r="E367" s="128"/>
      <c r="F367" s="128"/>
      <c r="G367" s="128"/>
      <c r="H367" s="128"/>
      <c r="I367" s="128"/>
      <c r="J367" s="128"/>
      <c r="K367" s="128"/>
      <c r="L367" s="128"/>
      <c r="M367" s="128"/>
      <c r="N367" s="128"/>
      <c r="O367" s="128"/>
      <c r="P367" s="128"/>
      <c r="Q367" s="128"/>
      <c r="R367" s="128"/>
      <c r="S367" s="128"/>
      <c r="T367" s="128"/>
      <c r="U367" s="129"/>
      <c r="W367" s="35" t="str">
        <f>"-- "&amp;C367</f>
        <v>-- ワーク_テキスト情報_一時登録</v>
      </c>
    </row>
    <row r="368" spans="2:23" ht="18.75" customHeight="1">
      <c r="B368" s="43" t="s">
        <v>159</v>
      </c>
      <c r="C368" s="130" t="str">
        <f>"MMLのテキストデータを抽出し、"&amp;R370&amp;"テーブルに格納する。"</f>
        <v>MMLのテキストデータを抽出し、ワーク_テキスト情報_一時テーブルに格納する。</v>
      </c>
      <c r="D368" s="131"/>
      <c r="E368" s="131"/>
      <c r="F368" s="131"/>
      <c r="G368" s="131"/>
      <c r="H368" s="131"/>
      <c r="I368" s="131"/>
      <c r="J368" s="131"/>
      <c r="K368" s="131"/>
      <c r="L368" s="131"/>
      <c r="M368" s="131"/>
      <c r="N368" s="131"/>
      <c r="O368" s="131"/>
      <c r="P368" s="131"/>
      <c r="Q368" s="131"/>
      <c r="R368" s="131"/>
      <c r="S368" s="131"/>
      <c r="T368" s="131"/>
      <c r="U368" s="132"/>
      <c r="W368" s="35" t="str">
        <f>"-- "&amp;C368</f>
        <v>-- MMLのテキストデータを抽出し、ワーク_テキスト情報_一時テーブルに格納する。</v>
      </c>
    </row>
    <row r="370" spans="2:23" ht="18.75" customHeight="1">
      <c r="C370" s="133" t="s">
        <v>3681</v>
      </c>
      <c r="D370" s="134"/>
      <c r="E370" s="123" t="str">
        <f>エンティティ一覧!$O$2</f>
        <v>milscm_2023_009</v>
      </c>
      <c r="F370" s="36"/>
      <c r="G370" s="36"/>
      <c r="H370" s="36"/>
      <c r="I370" s="36"/>
      <c r="J370" s="36"/>
      <c r="K370" s="36"/>
      <c r="L370" s="36"/>
      <c r="M370" s="36"/>
      <c r="N370" s="36"/>
      <c r="O370" s="36"/>
      <c r="R370" s="119" t="s">
        <v>4152</v>
      </c>
      <c r="S370" s="120"/>
      <c r="T370" s="123" t="str">
        <f>エンティティ一覧!$O$2</f>
        <v>milscm_2023_009</v>
      </c>
    </row>
    <row r="371" spans="2:23" ht="18.75" customHeight="1">
      <c r="C371" s="135"/>
      <c r="D371" s="136"/>
      <c r="E371" s="124"/>
      <c r="F371" s="37"/>
      <c r="G371" s="37"/>
      <c r="H371" s="37"/>
      <c r="I371" s="37"/>
      <c r="J371" s="37"/>
      <c r="K371" s="37"/>
      <c r="L371" s="37"/>
      <c r="M371" s="37"/>
      <c r="N371" s="37"/>
      <c r="O371" s="37"/>
      <c r="P371" s="37"/>
      <c r="Q371" s="37"/>
      <c r="R371" s="121"/>
      <c r="S371" s="122"/>
      <c r="T371" s="124"/>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4169</v>
      </c>
      <c r="D375" s="113"/>
      <c r="W375" s="35" t="str">
        <f>"-- "&amp;B375&amp;" : "&amp;C375</f>
        <v>-- SQL_ID : 41_17_08</v>
      </c>
    </row>
    <row r="376" spans="2:23" ht="18.75" customHeight="1">
      <c r="B376" s="43" t="s">
        <v>158</v>
      </c>
      <c r="C376" s="127" t="str">
        <f>R379&amp;"登録"</f>
        <v>ワーク_テキスト情報_一時登録</v>
      </c>
      <c r="D376" s="128"/>
      <c r="E376" s="128"/>
      <c r="F376" s="128"/>
      <c r="G376" s="128"/>
      <c r="H376" s="128"/>
      <c r="I376" s="128"/>
      <c r="J376" s="128"/>
      <c r="K376" s="128"/>
      <c r="L376" s="128"/>
      <c r="M376" s="128"/>
      <c r="N376" s="128"/>
      <c r="O376" s="128"/>
      <c r="P376" s="128"/>
      <c r="Q376" s="128"/>
      <c r="R376" s="128"/>
      <c r="S376" s="128"/>
      <c r="T376" s="128"/>
      <c r="U376" s="129"/>
      <c r="W376" s="35" t="str">
        <f>"-- "&amp;C376</f>
        <v>-- ワーク_テキスト情報_一時登録</v>
      </c>
    </row>
    <row r="377" spans="2:23" ht="18.75" customHeight="1">
      <c r="B377" s="43" t="s">
        <v>159</v>
      </c>
      <c r="C377" s="130" t="str">
        <f>"MMLのテキストデータを抽出し、"&amp;R379&amp;"テーブルに格納する。"</f>
        <v>MMLのテキストデータを抽出し、ワーク_テキスト情報_一時テーブルに格納する。</v>
      </c>
      <c r="D377" s="131"/>
      <c r="E377" s="131"/>
      <c r="F377" s="131"/>
      <c r="G377" s="131"/>
      <c r="H377" s="131"/>
      <c r="I377" s="131"/>
      <c r="J377" s="131"/>
      <c r="K377" s="131"/>
      <c r="L377" s="131"/>
      <c r="M377" s="131"/>
      <c r="N377" s="131"/>
      <c r="O377" s="131"/>
      <c r="P377" s="131"/>
      <c r="Q377" s="131"/>
      <c r="R377" s="131"/>
      <c r="S377" s="131"/>
      <c r="T377" s="131"/>
      <c r="U377" s="132"/>
      <c r="W377" s="35" t="str">
        <f>"-- "&amp;C377</f>
        <v>-- MMLのテキストデータを抽出し、ワーク_テキスト情報_一時テーブルに格納する。</v>
      </c>
    </row>
    <row r="379" spans="2:23" ht="18.75" customHeight="1">
      <c r="C379" s="133" t="s">
        <v>3681</v>
      </c>
      <c r="D379" s="134"/>
      <c r="E379" s="123" t="str">
        <f>エンティティ一覧!$O$2</f>
        <v>milscm_2023_009</v>
      </c>
      <c r="F379" s="36"/>
      <c r="G379" s="36"/>
      <c r="H379" s="36"/>
      <c r="I379" s="36"/>
      <c r="J379" s="36"/>
      <c r="K379" s="36"/>
      <c r="L379" s="36"/>
      <c r="M379" s="36"/>
      <c r="N379" s="36"/>
      <c r="O379" s="36"/>
      <c r="R379" s="119" t="s">
        <v>4152</v>
      </c>
      <c r="S379" s="120"/>
      <c r="T379" s="123" t="str">
        <f>エンティティ一覧!$O$2</f>
        <v>milscm_2023_009</v>
      </c>
    </row>
    <row r="380" spans="2:23" ht="18.75" customHeight="1">
      <c r="C380" s="135"/>
      <c r="D380" s="136"/>
      <c r="E380" s="124"/>
      <c r="F380" s="37"/>
      <c r="G380" s="37"/>
      <c r="H380" s="37"/>
      <c r="I380" s="37"/>
      <c r="J380" s="37"/>
      <c r="K380" s="37"/>
      <c r="L380" s="37"/>
      <c r="M380" s="37"/>
      <c r="N380" s="37"/>
      <c r="O380" s="37"/>
      <c r="P380" s="37"/>
      <c r="Q380" s="37"/>
      <c r="R380" s="121"/>
      <c r="S380" s="122"/>
      <c r="T380" s="124"/>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4170</v>
      </c>
      <c r="D384" s="113"/>
      <c r="W384" s="35" t="str">
        <f>"-- "&amp;B384&amp;" : "&amp;C384</f>
        <v>-- SQL_ID : 41_17_09</v>
      </c>
    </row>
    <row r="385" spans="2:23" ht="18.75" customHeight="1">
      <c r="B385" s="43" t="s">
        <v>158</v>
      </c>
      <c r="C385" s="127" t="str">
        <f>R388&amp;"登録"</f>
        <v>ワーク_テキスト情報_一時登録</v>
      </c>
      <c r="D385" s="128"/>
      <c r="E385" s="128"/>
      <c r="F385" s="128"/>
      <c r="G385" s="128"/>
      <c r="H385" s="128"/>
      <c r="I385" s="128"/>
      <c r="J385" s="128"/>
      <c r="K385" s="128"/>
      <c r="L385" s="128"/>
      <c r="M385" s="128"/>
      <c r="N385" s="128"/>
      <c r="O385" s="128"/>
      <c r="P385" s="128"/>
      <c r="Q385" s="128"/>
      <c r="R385" s="128"/>
      <c r="S385" s="128"/>
      <c r="T385" s="128"/>
      <c r="U385" s="129"/>
      <c r="W385" s="35" t="str">
        <f>"-- "&amp;C385</f>
        <v>-- ワーク_テキスト情報_一時登録</v>
      </c>
    </row>
    <row r="386" spans="2:23" ht="18.75" customHeight="1">
      <c r="B386" s="43" t="s">
        <v>159</v>
      </c>
      <c r="C386" s="130" t="str">
        <f>"MMLのテキストデータを抽出し、"&amp;R388&amp;"テーブルに格納する。"</f>
        <v>MMLのテキストデータを抽出し、ワーク_テキスト情報_一時テーブルに格納する。</v>
      </c>
      <c r="D386" s="131"/>
      <c r="E386" s="131"/>
      <c r="F386" s="131"/>
      <c r="G386" s="131"/>
      <c r="H386" s="131"/>
      <c r="I386" s="131"/>
      <c r="J386" s="131"/>
      <c r="K386" s="131"/>
      <c r="L386" s="131"/>
      <c r="M386" s="131"/>
      <c r="N386" s="131"/>
      <c r="O386" s="131"/>
      <c r="P386" s="131"/>
      <c r="Q386" s="131"/>
      <c r="R386" s="131"/>
      <c r="S386" s="131"/>
      <c r="T386" s="131"/>
      <c r="U386" s="132"/>
      <c r="W386" s="35" t="str">
        <f>"-- "&amp;C386</f>
        <v>-- MMLのテキストデータを抽出し、ワーク_テキスト情報_一時テーブルに格納する。</v>
      </c>
    </row>
    <row r="388" spans="2:23" ht="18.75" customHeight="1">
      <c r="C388" s="133" t="s">
        <v>3685</v>
      </c>
      <c r="D388" s="134"/>
      <c r="E388" s="123" t="str">
        <f>エンティティ一覧!$O$2</f>
        <v>milscm_2023_009</v>
      </c>
      <c r="F388" s="36"/>
      <c r="G388" s="36"/>
      <c r="H388" s="36"/>
      <c r="I388" s="36"/>
      <c r="J388" s="36"/>
      <c r="K388" s="36"/>
      <c r="L388" s="36"/>
      <c r="M388" s="36"/>
      <c r="N388" s="36"/>
      <c r="O388" s="36"/>
      <c r="R388" s="119" t="s">
        <v>4152</v>
      </c>
      <c r="S388" s="120"/>
      <c r="T388" s="123" t="str">
        <f>エンティティ一覧!$O$2</f>
        <v>milscm_2023_009</v>
      </c>
    </row>
    <row r="389" spans="2:23" ht="18.75" customHeight="1">
      <c r="C389" s="135"/>
      <c r="D389" s="136"/>
      <c r="E389" s="124"/>
      <c r="F389" s="37"/>
      <c r="G389" s="37"/>
      <c r="H389" s="37"/>
      <c r="I389" s="37"/>
      <c r="J389" s="37"/>
      <c r="K389" s="37"/>
      <c r="L389" s="37"/>
      <c r="M389" s="37"/>
      <c r="N389" s="37"/>
      <c r="O389" s="37"/>
      <c r="P389" s="37"/>
      <c r="Q389" s="37"/>
      <c r="R389" s="121"/>
      <c r="S389" s="122"/>
      <c r="T389" s="124"/>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4171</v>
      </c>
      <c r="D393" s="113"/>
      <c r="W393" s="35" t="str">
        <f>"-- "&amp;B393&amp;" : "&amp;C393</f>
        <v>-- SQL_ID : 41_17_10</v>
      </c>
    </row>
    <row r="394" spans="2:23" ht="18.75" customHeight="1">
      <c r="B394" s="43" t="s">
        <v>158</v>
      </c>
      <c r="C394" s="127" t="str">
        <f>R397&amp;"登録"</f>
        <v>ワーク_テキスト情報_一時登録</v>
      </c>
      <c r="D394" s="128"/>
      <c r="E394" s="128"/>
      <c r="F394" s="128"/>
      <c r="G394" s="128"/>
      <c r="H394" s="128"/>
      <c r="I394" s="128"/>
      <c r="J394" s="128"/>
      <c r="K394" s="128"/>
      <c r="L394" s="128"/>
      <c r="M394" s="128"/>
      <c r="N394" s="128"/>
      <c r="O394" s="128"/>
      <c r="P394" s="128"/>
      <c r="Q394" s="128"/>
      <c r="R394" s="128"/>
      <c r="S394" s="128"/>
      <c r="T394" s="128"/>
      <c r="U394" s="129"/>
      <c r="W394" s="35" t="str">
        <f>"-- "&amp;C394</f>
        <v>-- ワーク_テキスト情報_一時登録</v>
      </c>
    </row>
    <row r="395" spans="2:23" ht="18.75" customHeight="1">
      <c r="B395" s="43" t="s">
        <v>159</v>
      </c>
      <c r="C395" s="130" t="str">
        <f>"MMLのテキストデータを抽出し、"&amp;R397&amp;"テーブルに格納する。"</f>
        <v>MMLのテキストデータを抽出し、ワーク_テキスト情報_一時テーブルに格納する。</v>
      </c>
      <c r="D395" s="131"/>
      <c r="E395" s="131"/>
      <c r="F395" s="131"/>
      <c r="G395" s="131"/>
      <c r="H395" s="131"/>
      <c r="I395" s="131"/>
      <c r="J395" s="131"/>
      <c r="K395" s="131"/>
      <c r="L395" s="131"/>
      <c r="M395" s="131"/>
      <c r="N395" s="131"/>
      <c r="O395" s="131"/>
      <c r="P395" s="131"/>
      <c r="Q395" s="131"/>
      <c r="R395" s="131"/>
      <c r="S395" s="131"/>
      <c r="T395" s="131"/>
      <c r="U395" s="132"/>
      <c r="W395" s="35" t="str">
        <f>"-- "&amp;C395</f>
        <v>-- MMLのテキストデータを抽出し、ワーク_テキスト情報_一時テーブルに格納する。</v>
      </c>
    </row>
    <row r="397" spans="2:23" ht="18.75" customHeight="1">
      <c r="C397" s="133" t="s">
        <v>3685</v>
      </c>
      <c r="D397" s="134"/>
      <c r="E397" s="123" t="str">
        <f>エンティティ一覧!$O$2</f>
        <v>milscm_2023_009</v>
      </c>
      <c r="F397" s="36"/>
      <c r="G397" s="36"/>
      <c r="H397" s="36"/>
      <c r="I397" s="36"/>
      <c r="J397" s="36"/>
      <c r="K397" s="36"/>
      <c r="L397" s="36"/>
      <c r="M397" s="36"/>
      <c r="N397" s="36"/>
      <c r="O397" s="36"/>
      <c r="R397" s="119" t="s">
        <v>4152</v>
      </c>
      <c r="S397" s="120"/>
      <c r="T397" s="123" t="str">
        <f>エンティティ一覧!$O$2</f>
        <v>milscm_2023_009</v>
      </c>
    </row>
    <row r="398" spans="2:23" ht="18.75" customHeight="1">
      <c r="C398" s="135"/>
      <c r="D398" s="136"/>
      <c r="E398" s="124"/>
      <c r="F398" s="37"/>
      <c r="G398" s="37"/>
      <c r="H398" s="37"/>
      <c r="I398" s="37"/>
      <c r="J398" s="37"/>
      <c r="K398" s="37"/>
      <c r="L398" s="37"/>
      <c r="M398" s="37"/>
      <c r="N398" s="37"/>
      <c r="O398" s="37"/>
      <c r="P398" s="37"/>
      <c r="Q398" s="37"/>
      <c r="R398" s="121"/>
      <c r="S398" s="122"/>
      <c r="T398" s="124"/>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4172</v>
      </c>
      <c r="D402" s="113"/>
      <c r="W402" s="35" t="str">
        <f>"-- "&amp;B402&amp;" : "&amp;C402</f>
        <v>-- SQL_ID : 41_17_11</v>
      </c>
    </row>
    <row r="403" spans="2:23" ht="18.75" customHeight="1">
      <c r="B403" s="43" t="s">
        <v>158</v>
      </c>
      <c r="C403" s="127" t="str">
        <f>R406&amp;"登録"</f>
        <v>ワーク_テキスト情報_一時登録</v>
      </c>
      <c r="D403" s="128"/>
      <c r="E403" s="128"/>
      <c r="F403" s="128"/>
      <c r="G403" s="128"/>
      <c r="H403" s="128"/>
      <c r="I403" s="128"/>
      <c r="J403" s="128"/>
      <c r="K403" s="128"/>
      <c r="L403" s="128"/>
      <c r="M403" s="128"/>
      <c r="N403" s="128"/>
      <c r="O403" s="128"/>
      <c r="P403" s="128"/>
      <c r="Q403" s="128"/>
      <c r="R403" s="128"/>
      <c r="S403" s="128"/>
      <c r="T403" s="128"/>
      <c r="U403" s="129"/>
      <c r="W403" s="35" t="str">
        <f>"-- "&amp;C403</f>
        <v>-- ワーク_テキスト情報_一時登録</v>
      </c>
    </row>
    <row r="404" spans="2:23" ht="18.75" customHeight="1">
      <c r="B404" s="43" t="s">
        <v>159</v>
      </c>
      <c r="C404" s="130" t="str">
        <f>"MMLのテキストデータを抽出し、"&amp;R406&amp;"テーブルに格納する。"</f>
        <v>MMLのテキストデータを抽出し、ワーク_テキスト情報_一時テーブルに格納する。</v>
      </c>
      <c r="D404" s="131"/>
      <c r="E404" s="131"/>
      <c r="F404" s="131"/>
      <c r="G404" s="131"/>
      <c r="H404" s="131"/>
      <c r="I404" s="131"/>
      <c r="J404" s="131"/>
      <c r="K404" s="131"/>
      <c r="L404" s="131"/>
      <c r="M404" s="131"/>
      <c r="N404" s="131"/>
      <c r="O404" s="131"/>
      <c r="P404" s="131"/>
      <c r="Q404" s="131"/>
      <c r="R404" s="131"/>
      <c r="S404" s="131"/>
      <c r="T404" s="131"/>
      <c r="U404" s="132"/>
      <c r="W404" s="35" t="str">
        <f>"-- "&amp;C404</f>
        <v>-- MMLのテキストデータを抽出し、ワーク_テキスト情報_一時テーブルに格納する。</v>
      </c>
    </row>
    <row r="406" spans="2:23" ht="18.75" customHeight="1">
      <c r="C406" s="133" t="s">
        <v>3685</v>
      </c>
      <c r="D406" s="134"/>
      <c r="E406" s="123" t="str">
        <f>エンティティ一覧!$O$2</f>
        <v>milscm_2023_009</v>
      </c>
      <c r="F406" s="36"/>
      <c r="G406" s="36"/>
      <c r="H406" s="36"/>
      <c r="I406" s="36"/>
      <c r="J406" s="36"/>
      <c r="K406" s="36"/>
      <c r="L406" s="36"/>
      <c r="M406" s="36"/>
      <c r="N406" s="36"/>
      <c r="O406" s="36"/>
      <c r="R406" s="119" t="s">
        <v>4152</v>
      </c>
      <c r="S406" s="120"/>
      <c r="T406" s="123" t="str">
        <f>エンティティ一覧!$O$2</f>
        <v>milscm_2023_009</v>
      </c>
    </row>
    <row r="407" spans="2:23" ht="18.75" customHeight="1">
      <c r="C407" s="135"/>
      <c r="D407" s="136"/>
      <c r="E407" s="124"/>
      <c r="F407" s="37"/>
      <c r="G407" s="37"/>
      <c r="H407" s="37"/>
      <c r="I407" s="37"/>
      <c r="J407" s="37"/>
      <c r="K407" s="37"/>
      <c r="L407" s="37"/>
      <c r="M407" s="37"/>
      <c r="N407" s="37"/>
      <c r="O407" s="37"/>
      <c r="P407" s="37"/>
      <c r="Q407" s="37"/>
      <c r="R407" s="121"/>
      <c r="S407" s="122"/>
      <c r="T407" s="124"/>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4173</v>
      </c>
      <c r="D411" s="113"/>
      <c r="W411" s="35" t="str">
        <f>"-- "&amp;B411&amp;" : "&amp;C411</f>
        <v>-- SQL_ID : 41_17_12</v>
      </c>
    </row>
    <row r="412" spans="2:23" ht="18.75" customHeight="1">
      <c r="B412" s="43" t="s">
        <v>158</v>
      </c>
      <c r="C412" s="127" t="str">
        <f>R415&amp;"登録"</f>
        <v>ワーク_テキスト情報_一時登録</v>
      </c>
      <c r="D412" s="128"/>
      <c r="E412" s="128"/>
      <c r="F412" s="128"/>
      <c r="G412" s="128"/>
      <c r="H412" s="128"/>
      <c r="I412" s="128"/>
      <c r="J412" s="128"/>
      <c r="K412" s="128"/>
      <c r="L412" s="128"/>
      <c r="M412" s="128"/>
      <c r="N412" s="128"/>
      <c r="O412" s="128"/>
      <c r="P412" s="128"/>
      <c r="Q412" s="128"/>
      <c r="R412" s="128"/>
      <c r="S412" s="128"/>
      <c r="T412" s="128"/>
      <c r="U412" s="129"/>
      <c r="W412" s="35" t="str">
        <f>"-- "&amp;C412</f>
        <v>-- ワーク_テキスト情報_一時登録</v>
      </c>
    </row>
    <row r="413" spans="2:23" ht="18.75" customHeight="1">
      <c r="B413" s="43" t="s">
        <v>159</v>
      </c>
      <c r="C413" s="130" t="str">
        <f>"MMLのテキストデータを抽出し、"&amp;R415&amp;"テーブルに格納する。"</f>
        <v>MMLのテキストデータを抽出し、ワーク_テキスト情報_一時テーブルに格納する。</v>
      </c>
      <c r="D413" s="131"/>
      <c r="E413" s="131"/>
      <c r="F413" s="131"/>
      <c r="G413" s="131"/>
      <c r="H413" s="131"/>
      <c r="I413" s="131"/>
      <c r="J413" s="131"/>
      <c r="K413" s="131"/>
      <c r="L413" s="131"/>
      <c r="M413" s="131"/>
      <c r="N413" s="131"/>
      <c r="O413" s="131"/>
      <c r="P413" s="131"/>
      <c r="Q413" s="131"/>
      <c r="R413" s="131"/>
      <c r="S413" s="131"/>
      <c r="T413" s="131"/>
      <c r="U413" s="132"/>
      <c r="W413" s="35" t="str">
        <f>"-- "&amp;C413</f>
        <v>-- MMLのテキストデータを抽出し、ワーク_テキスト情報_一時テーブルに格納する。</v>
      </c>
    </row>
    <row r="415" spans="2:23" ht="18.75" customHeight="1">
      <c r="C415" s="133" t="s">
        <v>3685</v>
      </c>
      <c r="D415" s="134"/>
      <c r="E415" s="123" t="str">
        <f>エンティティ一覧!$O$2</f>
        <v>milscm_2023_009</v>
      </c>
      <c r="F415" s="36"/>
      <c r="G415" s="36"/>
      <c r="H415" s="36"/>
      <c r="I415" s="36"/>
      <c r="J415" s="36"/>
      <c r="K415" s="36"/>
      <c r="L415" s="36"/>
      <c r="M415" s="36"/>
      <c r="N415" s="36"/>
      <c r="O415" s="36"/>
      <c r="R415" s="119" t="s">
        <v>4152</v>
      </c>
      <c r="S415" s="120"/>
      <c r="T415" s="123" t="str">
        <f>エンティティ一覧!$O$2</f>
        <v>milscm_2023_009</v>
      </c>
    </row>
    <row r="416" spans="2:23" ht="18.75" customHeight="1">
      <c r="C416" s="135"/>
      <c r="D416" s="136"/>
      <c r="E416" s="124"/>
      <c r="F416" s="37"/>
      <c r="G416" s="37"/>
      <c r="H416" s="37"/>
      <c r="I416" s="37"/>
      <c r="J416" s="37"/>
      <c r="K416" s="37"/>
      <c r="L416" s="37"/>
      <c r="M416" s="37"/>
      <c r="N416" s="37"/>
      <c r="O416" s="37"/>
      <c r="P416" s="37"/>
      <c r="Q416" s="37"/>
      <c r="R416" s="121"/>
      <c r="S416" s="122"/>
      <c r="T416" s="124"/>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4174</v>
      </c>
      <c r="D420" s="113"/>
      <c r="W420" s="35" t="str">
        <f>"-- "&amp;B420&amp;" : "&amp;C420</f>
        <v>-- SQL_ID : 41_17_13</v>
      </c>
    </row>
    <row r="421" spans="2:23" ht="18.75" customHeight="1">
      <c r="B421" s="43" t="s">
        <v>158</v>
      </c>
      <c r="C421" s="127" t="str">
        <f>R424&amp;"登録"</f>
        <v>ワーク_テキスト情報_一時登録</v>
      </c>
      <c r="D421" s="128"/>
      <c r="E421" s="128"/>
      <c r="F421" s="128"/>
      <c r="G421" s="128"/>
      <c r="H421" s="128"/>
      <c r="I421" s="128"/>
      <c r="J421" s="128"/>
      <c r="K421" s="128"/>
      <c r="L421" s="128"/>
      <c r="M421" s="128"/>
      <c r="N421" s="128"/>
      <c r="O421" s="128"/>
      <c r="P421" s="128"/>
      <c r="Q421" s="128"/>
      <c r="R421" s="128"/>
      <c r="S421" s="128"/>
      <c r="T421" s="128"/>
      <c r="U421" s="129"/>
      <c r="W421" s="35" t="str">
        <f>"-- "&amp;C421</f>
        <v>-- ワーク_テキスト情報_一時登録</v>
      </c>
    </row>
    <row r="422" spans="2:23" ht="18.75" customHeight="1">
      <c r="B422" s="43" t="s">
        <v>159</v>
      </c>
      <c r="C422" s="130" t="str">
        <f>"MMLのテキストデータを抽出し、"&amp;R424&amp;"テーブルに格納する。"</f>
        <v>MMLのテキストデータを抽出し、ワーク_テキスト情報_一時テーブルに格納する。</v>
      </c>
      <c r="D422" s="131"/>
      <c r="E422" s="131"/>
      <c r="F422" s="131"/>
      <c r="G422" s="131"/>
      <c r="H422" s="131"/>
      <c r="I422" s="131"/>
      <c r="J422" s="131"/>
      <c r="K422" s="131"/>
      <c r="L422" s="131"/>
      <c r="M422" s="131"/>
      <c r="N422" s="131"/>
      <c r="O422" s="131"/>
      <c r="P422" s="131"/>
      <c r="Q422" s="131"/>
      <c r="R422" s="131"/>
      <c r="S422" s="131"/>
      <c r="T422" s="131"/>
      <c r="U422" s="132"/>
      <c r="W422" s="35" t="str">
        <f>"-- "&amp;C422</f>
        <v>-- MMLのテキストデータを抽出し、ワーク_テキスト情報_一時テーブルに格納する。</v>
      </c>
    </row>
    <row r="424" spans="2:23" ht="18.75" customHeight="1">
      <c r="C424" s="133" t="s">
        <v>3688</v>
      </c>
      <c r="D424" s="134"/>
      <c r="E424" s="123" t="str">
        <f>エンティティ一覧!$O$2</f>
        <v>milscm_2023_009</v>
      </c>
      <c r="F424" s="36"/>
      <c r="G424" s="36"/>
      <c r="H424" s="36"/>
      <c r="I424" s="36"/>
      <c r="J424" s="36"/>
      <c r="K424" s="36"/>
      <c r="L424" s="36"/>
      <c r="M424" s="36"/>
      <c r="N424" s="36"/>
      <c r="O424" s="36"/>
      <c r="R424" s="119" t="s">
        <v>4152</v>
      </c>
      <c r="S424" s="120"/>
      <c r="T424" s="123" t="str">
        <f>エンティティ一覧!$O$2</f>
        <v>milscm_2023_009</v>
      </c>
    </row>
    <row r="425" spans="2:23" ht="18.75" customHeight="1">
      <c r="C425" s="135"/>
      <c r="D425" s="136"/>
      <c r="E425" s="124"/>
      <c r="F425" s="37"/>
      <c r="G425" s="37"/>
      <c r="H425" s="37"/>
      <c r="I425" s="37"/>
      <c r="J425" s="37"/>
      <c r="K425" s="97"/>
      <c r="L425" s="37"/>
      <c r="M425" s="37"/>
      <c r="N425" s="37"/>
      <c r="O425" s="37"/>
      <c r="P425" s="37"/>
      <c r="Q425" s="37"/>
      <c r="R425" s="121"/>
      <c r="S425" s="122"/>
      <c r="T425" s="124"/>
    </row>
    <row r="426" spans="2:23" ht="18.75" customHeight="1">
      <c r="K426" s="104"/>
    </row>
    <row r="427" spans="2:23" ht="18.75" customHeight="1">
      <c r="C427" s="133" t="s">
        <v>3685</v>
      </c>
      <c r="D427" s="134"/>
      <c r="E427" s="123" t="str">
        <f>エンティティ一覧!$O$2</f>
        <v>milscm_2023_009</v>
      </c>
      <c r="F427" s="36"/>
      <c r="G427" s="36"/>
      <c r="H427" s="36"/>
      <c r="I427" s="36"/>
      <c r="J427" s="36"/>
      <c r="K427" s="105"/>
    </row>
    <row r="428" spans="2:23" ht="18.75" customHeight="1">
      <c r="C428" s="135"/>
      <c r="D428" s="136"/>
      <c r="E428" s="124"/>
      <c r="F428" s="37"/>
      <c r="G428" s="37"/>
      <c r="H428" s="37"/>
      <c r="I428" s="37"/>
      <c r="J428" s="37"/>
    </row>
    <row r="429" spans="2:23" ht="18.75" customHeight="1" thickBot="1">
      <c r="B429" s="42"/>
      <c r="C429" s="42"/>
      <c r="D429" s="42"/>
      <c r="E429" s="42"/>
      <c r="F429" s="42"/>
      <c r="G429" s="42"/>
      <c r="H429" s="42"/>
      <c r="I429" s="42"/>
      <c r="J429" s="42"/>
      <c r="K429" s="42"/>
      <c r="L429" s="42"/>
      <c r="M429" s="42"/>
      <c r="N429" s="42"/>
      <c r="O429" s="42"/>
      <c r="P429" s="42"/>
      <c r="Q429" s="42"/>
      <c r="R429" s="42"/>
      <c r="S429" s="42"/>
      <c r="T429" s="42"/>
      <c r="U429" s="42"/>
    </row>
    <row r="431" spans="2:23" ht="18.75" customHeight="1">
      <c r="B431" s="43" t="s">
        <v>163</v>
      </c>
      <c r="C431" s="51" t="s">
        <v>4175</v>
      </c>
      <c r="D431" s="113"/>
      <c r="W431" s="35" t="str">
        <f>"-- "&amp;B431&amp;" : "&amp;C431</f>
        <v>-- SQL_ID : 41_18</v>
      </c>
    </row>
    <row r="432" spans="2:23" ht="18.75" customHeight="1">
      <c r="B432" s="43" t="s">
        <v>158</v>
      </c>
      <c r="C432" s="127" t="str">
        <f>R435&amp;"登録"</f>
        <v>ワーク_テキスト情報登録</v>
      </c>
      <c r="D432" s="128"/>
      <c r="E432" s="128"/>
      <c r="F432" s="128"/>
      <c r="G432" s="128"/>
      <c r="H432" s="128"/>
      <c r="I432" s="128"/>
      <c r="J432" s="128"/>
      <c r="K432" s="128"/>
      <c r="L432" s="128"/>
      <c r="M432" s="128"/>
      <c r="N432" s="128"/>
      <c r="O432" s="128"/>
      <c r="P432" s="128"/>
      <c r="Q432" s="128"/>
      <c r="R432" s="128"/>
      <c r="S432" s="128"/>
      <c r="T432" s="128"/>
      <c r="U432" s="129"/>
      <c r="W432" s="35" t="str">
        <f>"-- "&amp;C432</f>
        <v>-- ワーク_テキスト情報登録</v>
      </c>
    </row>
    <row r="433" spans="2:23" ht="18.75" customHeight="1">
      <c r="B433" s="43" t="s">
        <v>159</v>
      </c>
      <c r="C433" s="130" t="str">
        <f>"MMLのテキストデータを抽出し、"&amp;R435&amp;"テーブルに格納する。"</f>
        <v>MMLのテキストデータを抽出し、ワーク_テキスト情報テーブルに格納する。</v>
      </c>
      <c r="D433" s="131"/>
      <c r="E433" s="131"/>
      <c r="F433" s="131"/>
      <c r="G433" s="131"/>
      <c r="H433" s="131"/>
      <c r="I433" s="131"/>
      <c r="J433" s="131"/>
      <c r="K433" s="131"/>
      <c r="L433" s="131"/>
      <c r="M433" s="131"/>
      <c r="N433" s="131"/>
      <c r="O433" s="131"/>
      <c r="P433" s="131"/>
      <c r="Q433" s="131"/>
      <c r="R433" s="131"/>
      <c r="S433" s="131"/>
      <c r="T433" s="131"/>
      <c r="U433" s="132"/>
      <c r="W433" s="35" t="str">
        <f>"-- "&amp;C433</f>
        <v>-- MMLのテキストデータを抽出し、ワーク_テキスト情報テーブルに格納する。</v>
      </c>
    </row>
    <row r="435" spans="2:23" ht="18.75" customHeight="1">
      <c r="C435" s="119" t="s">
        <v>4152</v>
      </c>
      <c r="D435" s="120"/>
      <c r="E435" s="123" t="str">
        <f>エンティティ一覧!$O$2</f>
        <v>milscm_2023_009</v>
      </c>
      <c r="F435" s="36"/>
      <c r="G435" s="36"/>
      <c r="H435" s="36"/>
      <c r="I435" s="36"/>
      <c r="J435" s="36"/>
      <c r="K435" s="36"/>
      <c r="L435" s="36"/>
      <c r="M435" s="36"/>
      <c r="N435" s="36"/>
      <c r="O435" s="36"/>
      <c r="R435" s="119" t="s">
        <v>4153</v>
      </c>
      <c r="S435" s="120"/>
      <c r="T435" s="123" t="str">
        <f>エンティティ一覧!$O$2</f>
        <v>milscm_2023_009</v>
      </c>
    </row>
    <row r="436" spans="2:23" ht="18.75" customHeight="1">
      <c r="C436" s="121"/>
      <c r="D436" s="122"/>
      <c r="E436" s="124"/>
      <c r="F436" s="37"/>
      <c r="G436" s="37"/>
      <c r="H436" s="37"/>
      <c r="I436" s="37"/>
      <c r="J436" s="37"/>
      <c r="K436" s="37"/>
      <c r="L436" s="37"/>
      <c r="M436" s="37"/>
      <c r="N436" s="37"/>
      <c r="O436" s="37"/>
      <c r="P436" s="37"/>
      <c r="Q436" s="38"/>
      <c r="R436" s="121"/>
      <c r="S436" s="122"/>
      <c r="T436" s="124"/>
    </row>
    <row r="437" spans="2:23" ht="18.75" customHeight="1">
      <c r="P437" s="39"/>
      <c r="Q437" s="40"/>
    </row>
    <row r="438" spans="2:23" ht="18.75" customHeight="1">
      <c r="H438" s="119" t="s">
        <v>3734</v>
      </c>
      <c r="I438" s="120"/>
      <c r="J438" s="123" t="str">
        <f>エンティティ一覧!$O$2</f>
        <v>milscm_2023_009</v>
      </c>
      <c r="M438" s="36"/>
      <c r="N438" s="36"/>
      <c r="O438" s="36"/>
      <c r="Q438" s="41"/>
    </row>
    <row r="439" spans="2:23" ht="18.75" customHeight="1">
      <c r="H439" s="121"/>
      <c r="I439" s="122"/>
      <c r="J439" s="124"/>
      <c r="K439" s="37"/>
      <c r="L439" s="38"/>
      <c r="M439" s="37"/>
      <c r="N439" s="37"/>
      <c r="O439" s="37"/>
      <c r="P439" s="37"/>
    </row>
    <row r="440" spans="2:23" ht="18.75" customHeight="1">
      <c r="K440" s="39"/>
      <c r="L440" s="40"/>
    </row>
    <row r="441" spans="2:23" ht="18.75" customHeight="1">
      <c r="H441" s="119" t="s">
        <v>187</v>
      </c>
      <c r="I441" s="120"/>
      <c r="J441" s="123" t="str">
        <f>エンティティ一覧!$O$2</f>
        <v>milscm_2023_009</v>
      </c>
      <c r="L441" s="41"/>
    </row>
    <row r="442" spans="2:23" ht="18.75" customHeight="1">
      <c r="H442" s="121"/>
      <c r="I442" s="122"/>
      <c r="J442" s="124"/>
      <c r="K442" s="37"/>
    </row>
    <row r="444" spans="2:23" ht="18.75" customHeight="1" thickBot="1">
      <c r="B444" s="42"/>
      <c r="C444" s="42"/>
      <c r="D444" s="42"/>
      <c r="E444" s="42"/>
      <c r="F444" s="42"/>
      <c r="G444" s="42"/>
      <c r="H444" s="42"/>
      <c r="I444" s="42"/>
      <c r="J444" s="42"/>
      <c r="K444" s="42"/>
      <c r="L444" s="42"/>
      <c r="M444" s="42"/>
      <c r="N444" s="42"/>
      <c r="O444" s="42"/>
      <c r="P444" s="42"/>
      <c r="Q444" s="42"/>
      <c r="R444" s="42"/>
      <c r="S444" s="42"/>
      <c r="T444" s="42"/>
      <c r="U444" s="42"/>
    </row>
    <row r="446" spans="2:23" ht="18.75" customHeight="1">
      <c r="B446" s="43" t="s">
        <v>163</v>
      </c>
      <c r="C446" s="51" t="s">
        <v>4290</v>
      </c>
      <c r="D446" s="118"/>
      <c r="W446" s="35" t="str">
        <f>"-- "&amp;B446&amp;" : "&amp;C446</f>
        <v>-- SQL_ID : 41_19</v>
      </c>
    </row>
    <row r="447" spans="2:23" ht="18.75" customHeight="1">
      <c r="B447" s="43" t="s">
        <v>158</v>
      </c>
      <c r="C447" s="127" t="str">
        <f>R450&amp;"登録"</f>
        <v>ワーク_観察期間登録</v>
      </c>
      <c r="D447" s="128"/>
      <c r="E447" s="128"/>
      <c r="F447" s="128"/>
      <c r="G447" s="128"/>
      <c r="H447" s="128"/>
      <c r="I447" s="128"/>
      <c r="J447" s="128"/>
      <c r="K447" s="128"/>
      <c r="L447" s="128"/>
      <c r="M447" s="128"/>
      <c r="N447" s="128"/>
      <c r="O447" s="128"/>
      <c r="P447" s="128"/>
      <c r="Q447" s="128"/>
      <c r="R447" s="128"/>
      <c r="S447" s="128"/>
      <c r="T447" s="128"/>
      <c r="U447" s="129"/>
      <c r="W447" s="35" t="str">
        <f>"-- "&amp;C447</f>
        <v>-- ワーク_観察期間登録</v>
      </c>
    </row>
    <row r="448" spans="2:23" ht="18.75" customHeight="1">
      <c r="B448" s="43" t="s">
        <v>159</v>
      </c>
      <c r="C448" s="130" t="str">
        <f>"MMLのテキストデータを抽出し、"&amp;R450&amp;"テーブルに格納する。"</f>
        <v>MMLのテキストデータを抽出し、ワーク_観察期間テーブルに格納する。</v>
      </c>
      <c r="D448" s="131"/>
      <c r="E448" s="131"/>
      <c r="F448" s="131"/>
      <c r="G448" s="131"/>
      <c r="H448" s="131"/>
      <c r="I448" s="131"/>
      <c r="J448" s="131"/>
      <c r="K448" s="131"/>
      <c r="L448" s="131"/>
      <c r="M448" s="131"/>
      <c r="N448" s="131"/>
      <c r="O448" s="131"/>
      <c r="P448" s="131"/>
      <c r="Q448" s="131"/>
      <c r="R448" s="131"/>
      <c r="S448" s="131"/>
      <c r="T448" s="131"/>
      <c r="U448" s="132"/>
      <c r="W448" s="35" t="str">
        <f>"-- "&amp;C448</f>
        <v>-- MMLのテキストデータを抽出し、ワーク_観察期間テーブルに格納する。</v>
      </c>
    </row>
    <row r="450" spans="3:20" ht="18.75" customHeight="1">
      <c r="C450" s="119" t="s">
        <v>4292</v>
      </c>
      <c r="D450" s="120"/>
      <c r="E450" s="123" t="str">
        <f>エンティティ一覧!$O$2</f>
        <v>milscm_2023_009</v>
      </c>
      <c r="F450" s="36"/>
      <c r="G450" s="36"/>
      <c r="H450" s="36"/>
      <c r="I450" s="36"/>
      <c r="J450" s="36"/>
      <c r="O450" s="36"/>
      <c r="R450" s="119" t="s">
        <v>4291</v>
      </c>
      <c r="S450" s="120"/>
      <c r="T450" s="123" t="str">
        <f>エンティティ一覧!$O$2</f>
        <v>milscm_2023_009</v>
      </c>
    </row>
    <row r="451" spans="3:20" ht="18.75" customHeight="1">
      <c r="C451" s="121"/>
      <c r="D451" s="122"/>
      <c r="E451" s="124"/>
      <c r="F451" s="37"/>
      <c r="G451" s="37"/>
      <c r="H451" s="37"/>
      <c r="I451" s="37"/>
      <c r="J451" s="37"/>
      <c r="K451" s="37"/>
      <c r="L451" s="38"/>
      <c r="M451" s="37"/>
      <c r="N451" s="38"/>
      <c r="O451" s="37"/>
      <c r="P451" s="37"/>
      <c r="Q451" s="38"/>
      <c r="R451" s="121"/>
      <c r="S451" s="122"/>
      <c r="T451" s="124"/>
    </row>
    <row r="452" spans="3:20" ht="18.75" customHeight="1">
      <c r="K452" s="104"/>
      <c r="M452" s="104"/>
      <c r="P452" s="39"/>
      <c r="Q452" s="40"/>
    </row>
    <row r="453" spans="3:20" ht="18.75" customHeight="1">
      <c r="C453" s="119" t="s">
        <v>4293</v>
      </c>
      <c r="D453" s="120"/>
      <c r="E453" s="123" t="str">
        <f>エンティティ一覧!$O$2</f>
        <v>milscm_2023_009</v>
      </c>
      <c r="F453" s="36"/>
      <c r="G453" s="36"/>
      <c r="H453" s="36"/>
      <c r="I453" s="36"/>
      <c r="J453" s="36"/>
      <c r="K453" s="105"/>
      <c r="M453" s="104"/>
      <c r="P453" s="39"/>
      <c r="Q453" s="40"/>
    </row>
    <row r="454" spans="3:20" ht="18.75" customHeight="1">
      <c r="C454" s="121"/>
      <c r="D454" s="122"/>
      <c r="E454" s="124"/>
      <c r="F454" s="37"/>
      <c r="G454" s="37"/>
      <c r="H454" s="37"/>
      <c r="I454" s="37"/>
      <c r="J454" s="37"/>
      <c r="M454" s="104"/>
      <c r="P454" s="39"/>
      <c r="Q454" s="40"/>
    </row>
    <row r="455" spans="3:20" ht="18.75" customHeight="1">
      <c r="M455" s="104"/>
      <c r="P455" s="39"/>
      <c r="Q455" s="40"/>
    </row>
    <row r="456" spans="3:20" ht="18.75" customHeight="1">
      <c r="H456" s="119" t="s">
        <v>4092</v>
      </c>
      <c r="I456" s="120"/>
      <c r="J456" s="123" t="str">
        <f>エンティティ一覧!$O$2</f>
        <v>milscm_2023_009</v>
      </c>
      <c r="K456" s="36"/>
      <c r="L456" s="36"/>
      <c r="M456" s="105"/>
      <c r="P456" s="39"/>
      <c r="Q456" s="40"/>
    </row>
    <row r="457" spans="3:20" ht="18.75" customHeight="1">
      <c r="H457" s="121"/>
      <c r="I457" s="122"/>
      <c r="J457" s="124"/>
      <c r="K457" s="37"/>
      <c r="L457" s="37"/>
      <c r="P457" s="39"/>
      <c r="Q457" s="40"/>
    </row>
    <row r="458" spans="3:20" ht="18.75" customHeight="1">
      <c r="P458" s="39"/>
      <c r="Q458" s="40"/>
    </row>
    <row r="459" spans="3:20" ht="18.75" customHeight="1">
      <c r="H459" s="119" t="s">
        <v>3734</v>
      </c>
      <c r="I459" s="120"/>
      <c r="J459" s="123" t="str">
        <f>エンティティ一覧!$O$2</f>
        <v>milscm_2023_009</v>
      </c>
      <c r="M459" s="36"/>
      <c r="N459" s="36"/>
      <c r="O459" s="36"/>
      <c r="Q459" s="41"/>
    </row>
    <row r="460" spans="3:20" ht="18.75" customHeight="1">
      <c r="H460" s="121"/>
      <c r="I460" s="122"/>
      <c r="J460" s="124"/>
      <c r="K460" s="37"/>
      <c r="L460" s="38"/>
      <c r="M460" s="37"/>
      <c r="N460" s="37"/>
      <c r="O460" s="37"/>
      <c r="P460" s="37"/>
    </row>
    <row r="461" spans="3:20" ht="18.75" customHeight="1">
      <c r="K461" s="39"/>
      <c r="L461" s="40"/>
    </row>
    <row r="462" spans="3:20" ht="18.75" customHeight="1">
      <c r="H462" s="119" t="s">
        <v>187</v>
      </c>
      <c r="I462" s="120"/>
      <c r="J462" s="123" t="str">
        <f>エンティティ一覧!$O$2</f>
        <v>milscm_2023_009</v>
      </c>
      <c r="L462" s="41"/>
    </row>
    <row r="463" spans="3:20" ht="18.75" customHeight="1">
      <c r="H463" s="121"/>
      <c r="I463" s="122"/>
      <c r="J463" s="124"/>
      <c r="K463" s="37"/>
    </row>
    <row r="465" spans="2:21" ht="18.75" customHeight="1" thickBot="1">
      <c r="B465" s="42"/>
      <c r="C465" s="42"/>
      <c r="D465" s="42"/>
      <c r="E465" s="42"/>
      <c r="F465" s="42"/>
      <c r="G465" s="42"/>
      <c r="H465" s="42"/>
      <c r="I465" s="42"/>
      <c r="J465" s="42"/>
      <c r="K465" s="42"/>
      <c r="L465" s="42"/>
      <c r="M465" s="42"/>
      <c r="N465" s="42"/>
      <c r="O465" s="42"/>
      <c r="P465" s="42"/>
      <c r="Q465" s="42"/>
      <c r="R465" s="42"/>
      <c r="S465" s="42"/>
      <c r="T465" s="42"/>
      <c r="U465" s="42"/>
    </row>
  </sheetData>
  <mergeCells count="310">
    <mergeCell ref="J289:J290"/>
    <mergeCell ref="H292:I293"/>
    <mergeCell ref="J292:J293"/>
    <mergeCell ref="H295:I296"/>
    <mergeCell ref="J295:J296"/>
    <mergeCell ref="H441:I442"/>
    <mergeCell ref="J441:J442"/>
    <mergeCell ref="C250:U250"/>
    <mergeCell ref="C251:U251"/>
    <mergeCell ref="C253:D254"/>
    <mergeCell ref="E253:E254"/>
    <mergeCell ref="R253:S254"/>
    <mergeCell ref="T253:T254"/>
    <mergeCell ref="H256:I257"/>
    <mergeCell ref="J256:J257"/>
    <mergeCell ref="H259:I260"/>
    <mergeCell ref="J259:J260"/>
    <mergeCell ref="C265:U265"/>
    <mergeCell ref="C266:U266"/>
    <mergeCell ref="C268:D269"/>
    <mergeCell ref="E268:E269"/>
    <mergeCell ref="R268:S269"/>
    <mergeCell ref="T268:T269"/>
    <mergeCell ref="H274:I275"/>
    <mergeCell ref="J274:J275"/>
    <mergeCell ref="H277:I278"/>
    <mergeCell ref="J277:J278"/>
    <mergeCell ref="C301:U301"/>
    <mergeCell ref="C302:U302"/>
    <mergeCell ref="C427:D428"/>
    <mergeCell ref="E427:E428"/>
    <mergeCell ref="C432:U432"/>
    <mergeCell ref="C433:U433"/>
    <mergeCell ref="C394:U394"/>
    <mergeCell ref="C395:U395"/>
    <mergeCell ref="C397:D398"/>
    <mergeCell ref="E397:E398"/>
    <mergeCell ref="R397:S398"/>
    <mergeCell ref="T397:T398"/>
    <mergeCell ref="C403:U403"/>
    <mergeCell ref="C404:U404"/>
    <mergeCell ref="C406:D407"/>
    <mergeCell ref="E406:E407"/>
    <mergeCell ref="R406:S407"/>
    <mergeCell ref="T406:T407"/>
    <mergeCell ref="C376:U376"/>
    <mergeCell ref="C377:U377"/>
    <mergeCell ref="C379:D380"/>
    <mergeCell ref="C435:D436"/>
    <mergeCell ref="E435:E436"/>
    <mergeCell ref="R435:S436"/>
    <mergeCell ref="T435:T436"/>
    <mergeCell ref="H438:I439"/>
    <mergeCell ref="J438:J439"/>
    <mergeCell ref="C412:U412"/>
    <mergeCell ref="C413:U413"/>
    <mergeCell ref="C415:D416"/>
    <mergeCell ref="E415:E416"/>
    <mergeCell ref="R415:S416"/>
    <mergeCell ref="T415:T416"/>
    <mergeCell ref="C421:U421"/>
    <mergeCell ref="C422:U422"/>
    <mergeCell ref="C424:D425"/>
    <mergeCell ref="E424:E425"/>
    <mergeCell ref="R424:S425"/>
    <mergeCell ref="T424:T425"/>
    <mergeCell ref="E379:E380"/>
    <mergeCell ref="R379:S380"/>
    <mergeCell ref="T379:T380"/>
    <mergeCell ref="C385:U385"/>
    <mergeCell ref="C386:U386"/>
    <mergeCell ref="C388:D389"/>
    <mergeCell ref="E388:E389"/>
    <mergeCell ref="R388:S389"/>
    <mergeCell ref="T388:T389"/>
    <mergeCell ref="C358:U358"/>
    <mergeCell ref="C359:U359"/>
    <mergeCell ref="C361:D362"/>
    <mergeCell ref="E361:E362"/>
    <mergeCell ref="R361:S362"/>
    <mergeCell ref="T361:T362"/>
    <mergeCell ref="C367:U367"/>
    <mergeCell ref="C368:U368"/>
    <mergeCell ref="C370:D371"/>
    <mergeCell ref="E370:E371"/>
    <mergeCell ref="R370:S371"/>
    <mergeCell ref="T370:T371"/>
    <mergeCell ref="C340:U340"/>
    <mergeCell ref="C341:U341"/>
    <mergeCell ref="C343:D344"/>
    <mergeCell ref="E343:E344"/>
    <mergeCell ref="R343:S344"/>
    <mergeCell ref="T343:T344"/>
    <mergeCell ref="C349:U349"/>
    <mergeCell ref="C350:U350"/>
    <mergeCell ref="C352:D353"/>
    <mergeCell ref="E352:E353"/>
    <mergeCell ref="R352:S353"/>
    <mergeCell ref="T352:T353"/>
    <mergeCell ref="C323:U323"/>
    <mergeCell ref="C325:D326"/>
    <mergeCell ref="E325:E326"/>
    <mergeCell ref="R325:S326"/>
    <mergeCell ref="T325:T326"/>
    <mergeCell ref="C331:U331"/>
    <mergeCell ref="C332:U332"/>
    <mergeCell ref="C334:D335"/>
    <mergeCell ref="E334:E335"/>
    <mergeCell ref="R334:S335"/>
    <mergeCell ref="T334:T335"/>
    <mergeCell ref="C244:D245"/>
    <mergeCell ref="E244:E245"/>
    <mergeCell ref="C313:U313"/>
    <mergeCell ref="C314:U314"/>
    <mergeCell ref="C316:D317"/>
    <mergeCell ref="E316:E317"/>
    <mergeCell ref="R316:S317"/>
    <mergeCell ref="T316:T317"/>
    <mergeCell ref="C322:U322"/>
    <mergeCell ref="C304:D305"/>
    <mergeCell ref="E304:E305"/>
    <mergeCell ref="R304:S305"/>
    <mergeCell ref="T304:T305"/>
    <mergeCell ref="C307:D308"/>
    <mergeCell ref="E307:E308"/>
    <mergeCell ref="H271:I272"/>
    <mergeCell ref="J271:J272"/>
    <mergeCell ref="C283:U283"/>
    <mergeCell ref="C284:U284"/>
    <mergeCell ref="C286:D287"/>
    <mergeCell ref="E286:E287"/>
    <mergeCell ref="R286:S287"/>
    <mergeCell ref="T286:T287"/>
    <mergeCell ref="H289:I290"/>
    <mergeCell ref="H226:I227"/>
    <mergeCell ref="J226:J227"/>
    <mergeCell ref="H229:I230"/>
    <mergeCell ref="J229:J230"/>
    <mergeCell ref="H232:I233"/>
    <mergeCell ref="J232:J233"/>
    <mergeCell ref="C238:U238"/>
    <mergeCell ref="C239:U239"/>
    <mergeCell ref="C241:D242"/>
    <mergeCell ref="E241:E242"/>
    <mergeCell ref="R241:S242"/>
    <mergeCell ref="T241:T242"/>
    <mergeCell ref="C211:D212"/>
    <mergeCell ref="E211:E212"/>
    <mergeCell ref="H214:I215"/>
    <mergeCell ref="J214:J215"/>
    <mergeCell ref="H217:I218"/>
    <mergeCell ref="J217:J218"/>
    <mergeCell ref="H220:I221"/>
    <mergeCell ref="J220:J221"/>
    <mergeCell ref="H223:I224"/>
    <mergeCell ref="J223:J224"/>
    <mergeCell ref="H196:I197"/>
    <mergeCell ref="J196:J197"/>
    <mergeCell ref="H199:I200"/>
    <mergeCell ref="J199:J200"/>
    <mergeCell ref="C205:U205"/>
    <mergeCell ref="C206:U206"/>
    <mergeCell ref="C208:D209"/>
    <mergeCell ref="E208:E209"/>
    <mergeCell ref="R208:S209"/>
    <mergeCell ref="T208:T209"/>
    <mergeCell ref="H181:I182"/>
    <mergeCell ref="J181:J182"/>
    <mergeCell ref="H184:I185"/>
    <mergeCell ref="J184:J185"/>
    <mergeCell ref="H187:I188"/>
    <mergeCell ref="J187:J188"/>
    <mergeCell ref="H190:I191"/>
    <mergeCell ref="J190:J191"/>
    <mergeCell ref="H193:I194"/>
    <mergeCell ref="J193:J194"/>
    <mergeCell ref="H166:I167"/>
    <mergeCell ref="J166:J167"/>
    <mergeCell ref="H169:I170"/>
    <mergeCell ref="J169:J170"/>
    <mergeCell ref="C175:U175"/>
    <mergeCell ref="C176:U176"/>
    <mergeCell ref="C178:D179"/>
    <mergeCell ref="E178:E179"/>
    <mergeCell ref="R178:S179"/>
    <mergeCell ref="T178:T179"/>
    <mergeCell ref="E160:E161"/>
    <mergeCell ref="T160:T161"/>
    <mergeCell ref="J163:J164"/>
    <mergeCell ref="C139:U139"/>
    <mergeCell ref="C140:U140"/>
    <mergeCell ref="C142:D143"/>
    <mergeCell ref="E142:E143"/>
    <mergeCell ref="R142:S143"/>
    <mergeCell ref="T142:T143"/>
    <mergeCell ref="H145:I146"/>
    <mergeCell ref="J145:J146"/>
    <mergeCell ref="H148:I149"/>
    <mergeCell ref="J148:J149"/>
    <mergeCell ref="C157:U157"/>
    <mergeCell ref="C158:U158"/>
    <mergeCell ref="C160:D161"/>
    <mergeCell ref="R160:S161"/>
    <mergeCell ref="H163:I164"/>
    <mergeCell ref="C4:U4"/>
    <mergeCell ref="C5:U5"/>
    <mergeCell ref="C7:D8"/>
    <mergeCell ref="E7:E8"/>
    <mergeCell ref="R7:S8"/>
    <mergeCell ref="T7:T8"/>
    <mergeCell ref="C58:D59"/>
    <mergeCell ref="E58:E59"/>
    <mergeCell ref="H61:I62"/>
    <mergeCell ref="J61:J62"/>
    <mergeCell ref="C52:U52"/>
    <mergeCell ref="C53:U53"/>
    <mergeCell ref="C55:D56"/>
    <mergeCell ref="E55:E56"/>
    <mergeCell ref="R55:S56"/>
    <mergeCell ref="T55:T56"/>
    <mergeCell ref="C16:U16"/>
    <mergeCell ref="C17:U17"/>
    <mergeCell ref="C19:D20"/>
    <mergeCell ref="E19:E20"/>
    <mergeCell ref="R19:S20"/>
    <mergeCell ref="T19:T20"/>
    <mergeCell ref="C28:D29"/>
    <mergeCell ref="E28:E29"/>
    <mergeCell ref="H64:I65"/>
    <mergeCell ref="J64:J65"/>
    <mergeCell ref="C70:U70"/>
    <mergeCell ref="C71:U71"/>
    <mergeCell ref="C73:D74"/>
    <mergeCell ref="E73:E74"/>
    <mergeCell ref="R73:S74"/>
    <mergeCell ref="T73:T74"/>
    <mergeCell ref="C91:D92"/>
    <mergeCell ref="E91:E92"/>
    <mergeCell ref="H76:I77"/>
    <mergeCell ref="J76:J77"/>
    <mergeCell ref="H79:I80"/>
    <mergeCell ref="J79:J80"/>
    <mergeCell ref="C85:U85"/>
    <mergeCell ref="C86:U86"/>
    <mergeCell ref="C88:D89"/>
    <mergeCell ref="E88:E89"/>
    <mergeCell ref="R88:S89"/>
    <mergeCell ref="T88:T89"/>
    <mergeCell ref="C97:U97"/>
    <mergeCell ref="C98:U98"/>
    <mergeCell ref="C100:D101"/>
    <mergeCell ref="E100:E101"/>
    <mergeCell ref="R100:S101"/>
    <mergeCell ref="T100:T101"/>
    <mergeCell ref="H103:I104"/>
    <mergeCell ref="J103:J104"/>
    <mergeCell ref="H106:I107"/>
    <mergeCell ref="J106:J107"/>
    <mergeCell ref="C112:U112"/>
    <mergeCell ref="C113:U113"/>
    <mergeCell ref="C115:D116"/>
    <mergeCell ref="E115:E116"/>
    <mergeCell ref="R115:S116"/>
    <mergeCell ref="T115:T116"/>
    <mergeCell ref="H118:I119"/>
    <mergeCell ref="J118:J119"/>
    <mergeCell ref="H121:I122"/>
    <mergeCell ref="J121:J122"/>
    <mergeCell ref="C127:U127"/>
    <mergeCell ref="C128:U128"/>
    <mergeCell ref="C130:D131"/>
    <mergeCell ref="E130:E131"/>
    <mergeCell ref="R130:S131"/>
    <mergeCell ref="T130:T131"/>
    <mergeCell ref="C133:D134"/>
    <mergeCell ref="E133:E134"/>
    <mergeCell ref="H151:I152"/>
    <mergeCell ref="J151:J152"/>
    <mergeCell ref="C31:D32"/>
    <mergeCell ref="E31:E32"/>
    <mergeCell ref="H10:I11"/>
    <mergeCell ref="J10:J11"/>
    <mergeCell ref="C22:D23"/>
    <mergeCell ref="E22:E23"/>
    <mergeCell ref="H46:I47"/>
    <mergeCell ref="J46:J47"/>
    <mergeCell ref="H34:I35"/>
    <mergeCell ref="J34:J35"/>
    <mergeCell ref="H37:I38"/>
    <mergeCell ref="J37:J38"/>
    <mergeCell ref="H43:I44"/>
    <mergeCell ref="J43:J44"/>
    <mergeCell ref="H25:I26"/>
    <mergeCell ref="J25:J26"/>
    <mergeCell ref="C40:D41"/>
    <mergeCell ref="E40:E41"/>
    <mergeCell ref="C447:U447"/>
    <mergeCell ref="C448:U448"/>
    <mergeCell ref="C450:D451"/>
    <mergeCell ref="E450:E451"/>
    <mergeCell ref="R450:S451"/>
    <mergeCell ref="T450:T451"/>
    <mergeCell ref="H459:I460"/>
    <mergeCell ref="J459:J460"/>
    <mergeCell ref="H462:I463"/>
    <mergeCell ref="J462:J463"/>
    <mergeCell ref="C453:D454"/>
    <mergeCell ref="E453:E454"/>
    <mergeCell ref="H456:I457"/>
    <mergeCell ref="J456:J457"/>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39"/>
  <sheetViews>
    <sheetView showGridLines="0" tabSelected="1" zoomScaleNormal="100" workbookViewId="0">
      <pane xSplit="27" ySplit="5" topLeftCell="AB210" activePane="bottomRight" state="frozenSplit"/>
      <selection pane="topRight" activeCell="AC1" sqref="AC1"/>
      <selection pane="bottomLeft" activeCell="A6" sqref="A6"/>
      <selection pane="bottomRight" activeCell="O220" sqref="O220"/>
    </sheetView>
  </sheetViews>
  <sheetFormatPr defaultColWidth="2.625" defaultRowHeight="18.75" outlineLevelRow="1"/>
  <cols>
    <col min="1" max="1" width="2.625" style="34" customWidth="1"/>
    <col min="2" max="6" width="2.625" style="65"/>
    <col min="7" max="14" width="2.625" style="32"/>
    <col min="15" max="15" width="20.5" style="32" bestFit="1" customWidth="1"/>
    <col min="16" max="20" width="2.625" style="32"/>
    <col min="21" max="21" width="2.625" style="32" customWidth="1"/>
    <col min="22" max="63" width="2.625" style="32"/>
    <col min="64" max="64" width="2.875" style="32" bestFit="1" customWidth="1"/>
    <col min="65" max="16384" width="2.625" style="32"/>
  </cols>
  <sheetData>
    <row r="1" spans="1:64">
      <c r="B1" s="205" t="s">
        <v>138</v>
      </c>
      <c r="C1" s="206"/>
      <c r="D1" s="206"/>
      <c r="E1" s="206"/>
      <c r="F1" s="206"/>
      <c r="G1" s="206"/>
      <c r="H1" s="206"/>
      <c r="I1" s="206"/>
      <c r="J1" s="206"/>
      <c r="K1" s="206"/>
      <c r="L1" s="206"/>
      <c r="M1" s="206"/>
      <c r="N1" s="207"/>
      <c r="O1" s="196" t="s">
        <v>157</v>
      </c>
      <c r="P1" s="197"/>
      <c r="Q1" s="197"/>
      <c r="R1" s="197"/>
      <c r="S1" s="197"/>
      <c r="T1" s="197"/>
      <c r="U1" s="197"/>
      <c r="V1" s="197"/>
      <c r="W1" s="197"/>
      <c r="X1" s="197"/>
      <c r="Y1" s="197"/>
      <c r="Z1" s="197"/>
      <c r="AA1" s="197"/>
      <c r="AB1" s="197"/>
      <c r="AC1" s="197"/>
      <c r="AD1" s="198"/>
      <c r="AE1" s="196" t="s">
        <v>3285</v>
      </c>
      <c r="AF1" s="197"/>
      <c r="AG1" s="197"/>
      <c r="AH1" s="197"/>
      <c r="AI1" s="197"/>
      <c r="AJ1" s="197"/>
      <c r="AK1" s="197"/>
      <c r="AL1" s="197"/>
      <c r="AM1" s="197"/>
      <c r="AN1" s="197"/>
      <c r="AO1" s="197"/>
      <c r="AP1" s="197"/>
      <c r="AQ1" s="197"/>
      <c r="AR1" s="198"/>
      <c r="AS1" s="196"/>
      <c r="AT1" s="197"/>
      <c r="AU1" s="197"/>
      <c r="AV1" s="197"/>
      <c r="AW1" s="197"/>
      <c r="AX1" s="198"/>
      <c r="AY1" s="196"/>
      <c r="AZ1" s="197"/>
      <c r="BA1" s="197"/>
      <c r="BB1" s="197"/>
      <c r="BC1" s="197"/>
      <c r="BD1" s="198"/>
      <c r="BE1" s="196"/>
      <c r="BF1" s="197"/>
      <c r="BG1" s="197"/>
      <c r="BH1" s="197"/>
      <c r="BI1" s="197"/>
      <c r="BJ1" s="198"/>
    </row>
    <row r="2" spans="1:64">
      <c r="B2" s="208"/>
      <c r="C2" s="209"/>
      <c r="D2" s="209"/>
      <c r="E2" s="209"/>
      <c r="F2" s="209"/>
      <c r="G2" s="209"/>
      <c r="H2" s="209"/>
      <c r="I2" s="209"/>
      <c r="J2" s="209"/>
      <c r="K2" s="209"/>
      <c r="L2" s="209"/>
      <c r="M2" s="209"/>
      <c r="N2" s="210"/>
      <c r="O2" s="211" t="s">
        <v>3784</v>
      </c>
      <c r="P2" s="212"/>
      <c r="Q2" s="212"/>
      <c r="R2" s="212"/>
      <c r="S2" s="212"/>
      <c r="T2" s="212"/>
      <c r="U2" s="212"/>
      <c r="V2" s="212"/>
      <c r="W2" s="212"/>
      <c r="X2" s="212"/>
      <c r="Y2" s="212"/>
      <c r="Z2" s="212"/>
      <c r="AA2" s="212"/>
      <c r="AB2" s="212"/>
      <c r="AC2" s="212"/>
      <c r="AD2" s="213"/>
      <c r="AE2" s="211" t="s">
        <v>3785</v>
      </c>
      <c r="AF2" s="212"/>
      <c r="AG2" s="212"/>
      <c r="AH2" s="212"/>
      <c r="AI2" s="212"/>
      <c r="AJ2" s="212"/>
      <c r="AK2" s="212"/>
      <c r="AL2" s="212"/>
      <c r="AM2" s="212"/>
      <c r="AN2" s="212"/>
      <c r="AO2" s="212"/>
      <c r="AP2" s="212"/>
      <c r="AQ2" s="212"/>
      <c r="AR2" s="213"/>
      <c r="AS2" s="193"/>
      <c r="AT2" s="194"/>
      <c r="AU2" s="194"/>
      <c r="AV2" s="194"/>
      <c r="AW2" s="194"/>
      <c r="AX2" s="195"/>
      <c r="AY2" s="193"/>
      <c r="AZ2" s="194"/>
      <c r="BA2" s="194"/>
      <c r="BB2" s="194"/>
      <c r="BC2" s="194"/>
      <c r="BD2" s="195"/>
      <c r="BE2" s="193"/>
      <c r="BF2" s="194"/>
      <c r="BG2" s="194"/>
      <c r="BH2" s="194"/>
      <c r="BI2" s="194"/>
      <c r="BJ2" s="195"/>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27" t="s">
        <v>165</v>
      </c>
      <c r="C4" s="200"/>
      <c r="D4" s="200"/>
      <c r="E4" s="200"/>
      <c r="F4" s="220"/>
      <c r="G4" s="199" t="s">
        <v>164</v>
      </c>
      <c r="H4" s="200"/>
      <c r="I4" s="200"/>
      <c r="J4" s="200"/>
      <c r="K4" s="200"/>
      <c r="L4" s="200"/>
      <c r="M4" s="200"/>
      <c r="N4" s="220"/>
      <c r="O4" s="199" t="s">
        <v>160</v>
      </c>
      <c r="P4" s="214" t="s">
        <v>139</v>
      </c>
      <c r="Q4" s="215"/>
      <c r="R4" s="215"/>
      <c r="S4" s="215"/>
      <c r="T4" s="215"/>
      <c r="U4" s="215"/>
      <c r="V4" s="215"/>
      <c r="W4" s="215"/>
      <c r="X4" s="215"/>
      <c r="Y4" s="215"/>
      <c r="Z4" s="215"/>
      <c r="AA4" s="215"/>
      <c r="AB4" s="215"/>
      <c r="AC4" s="215"/>
      <c r="AD4" s="216"/>
      <c r="AE4" s="214" t="s">
        <v>136</v>
      </c>
      <c r="AF4" s="215"/>
      <c r="AG4" s="215"/>
      <c r="AH4" s="215"/>
      <c r="AI4" s="215"/>
      <c r="AJ4" s="215"/>
      <c r="AK4" s="215"/>
      <c r="AL4" s="216"/>
      <c r="AM4" s="199" t="s">
        <v>117</v>
      </c>
      <c r="AN4" s="200"/>
      <c r="AO4" s="200"/>
      <c r="AP4" s="200"/>
      <c r="AQ4" s="200"/>
      <c r="AR4" s="200"/>
      <c r="AS4" s="200"/>
      <c r="AT4" s="200"/>
      <c r="AU4" s="200"/>
      <c r="AV4" s="200"/>
      <c r="AW4" s="200"/>
      <c r="AX4" s="200"/>
      <c r="AY4" s="200"/>
      <c r="AZ4" s="200"/>
      <c r="BA4" s="200"/>
      <c r="BB4" s="200"/>
      <c r="BC4" s="200"/>
      <c r="BD4" s="200"/>
      <c r="BE4" s="200"/>
      <c r="BF4" s="200"/>
      <c r="BG4" s="200"/>
      <c r="BH4" s="200"/>
      <c r="BI4" s="200"/>
      <c r="BJ4" s="201"/>
    </row>
    <row r="5" spans="1:64" ht="42" customHeight="1" thickBot="1">
      <c r="B5" s="228"/>
      <c r="C5" s="222"/>
      <c r="D5" s="222"/>
      <c r="E5" s="222"/>
      <c r="F5" s="223"/>
      <c r="G5" s="221"/>
      <c r="H5" s="222"/>
      <c r="I5" s="222"/>
      <c r="J5" s="222"/>
      <c r="K5" s="222"/>
      <c r="L5" s="222"/>
      <c r="M5" s="222"/>
      <c r="N5" s="223"/>
      <c r="O5" s="224"/>
      <c r="P5" s="224"/>
      <c r="Q5" s="225"/>
      <c r="R5" s="225"/>
      <c r="S5" s="225"/>
      <c r="T5" s="225"/>
      <c r="U5" s="225"/>
      <c r="V5" s="225"/>
      <c r="W5" s="225"/>
      <c r="X5" s="225"/>
      <c r="Y5" s="225"/>
      <c r="Z5" s="225"/>
      <c r="AA5" s="225"/>
      <c r="AB5" s="225"/>
      <c r="AC5" s="225"/>
      <c r="AD5" s="226"/>
      <c r="AE5" s="217"/>
      <c r="AF5" s="218"/>
      <c r="AG5" s="218"/>
      <c r="AH5" s="218"/>
      <c r="AI5" s="218"/>
      <c r="AJ5" s="218"/>
      <c r="AK5" s="218"/>
      <c r="AL5" s="219"/>
      <c r="AM5" s="202"/>
      <c r="AN5" s="203"/>
      <c r="AO5" s="203"/>
      <c r="AP5" s="203"/>
      <c r="AQ5" s="203"/>
      <c r="AR5" s="203"/>
      <c r="AS5" s="203"/>
      <c r="AT5" s="203"/>
      <c r="AU5" s="203"/>
      <c r="AV5" s="203"/>
      <c r="AW5" s="203"/>
      <c r="AX5" s="203"/>
      <c r="AY5" s="203"/>
      <c r="AZ5" s="203"/>
      <c r="BA5" s="203"/>
      <c r="BB5" s="203"/>
      <c r="BC5" s="203"/>
      <c r="BD5" s="203"/>
      <c r="BE5" s="203"/>
      <c r="BF5" s="203"/>
      <c r="BG5" s="203"/>
      <c r="BH5" s="203"/>
      <c r="BI5" s="203"/>
      <c r="BJ5" s="204"/>
    </row>
    <row r="6" spans="1:64" ht="37.5" hidden="1" customHeight="1" outlineLevel="1" thickTop="1">
      <c r="A6" s="34" t="str">
        <f>P6</f>
        <v>バックアップ_疾患データ_組み入れ第一条件</v>
      </c>
      <c r="B6" s="148" t="str">
        <f>TEXT(1,"00")</f>
        <v>01</v>
      </c>
      <c r="C6" s="149"/>
      <c r="D6" s="149"/>
      <c r="E6" s="149"/>
      <c r="F6" s="150"/>
      <c r="G6" s="151" t="s">
        <v>196</v>
      </c>
      <c r="H6" s="152"/>
      <c r="I6" s="152"/>
      <c r="J6" s="152"/>
      <c r="K6" s="152"/>
      <c r="L6" s="152"/>
      <c r="M6" s="152"/>
      <c r="N6" s="153"/>
      <c r="O6" s="79" t="s">
        <v>3674</v>
      </c>
      <c r="P6" s="165" t="s">
        <v>3789</v>
      </c>
      <c r="Q6" s="166"/>
      <c r="R6" s="166"/>
      <c r="S6" s="166"/>
      <c r="T6" s="166"/>
      <c r="U6" s="166"/>
      <c r="V6" s="166"/>
      <c r="W6" s="166"/>
      <c r="X6" s="166"/>
      <c r="Y6" s="166"/>
      <c r="Z6" s="166"/>
      <c r="AA6" s="166"/>
      <c r="AB6" s="166"/>
      <c r="AC6" s="166"/>
      <c r="AD6" s="167"/>
      <c r="AE6" s="161" t="str">
        <f t="shared" ref="AE6" ca="1" si="0">IFERROR(INDIRECT(P6&amp;"!D8"),"")</f>
        <v>sny_202310_backup_shikkan_first_criteria</v>
      </c>
      <c r="AF6" s="162"/>
      <c r="AG6" s="162"/>
      <c r="AH6" s="162"/>
      <c r="AI6" s="162"/>
      <c r="AJ6" s="162"/>
      <c r="AK6" s="162"/>
      <c r="AL6" s="163"/>
      <c r="AM6" s="161" t="str">
        <f t="shared" ref="AM6" ca="1" si="1">IFERROR(INDIRECT(P6&amp;"!D9"),"")</f>
        <v>MML診断履歴情報からICD10コードがC900のもので絞り込んだ結果を格納するテーブル</v>
      </c>
      <c r="AN6" s="162"/>
      <c r="AO6" s="162"/>
      <c r="AP6" s="162"/>
      <c r="AQ6" s="162"/>
      <c r="AR6" s="162"/>
      <c r="AS6" s="162"/>
      <c r="AT6" s="162"/>
      <c r="AU6" s="162"/>
      <c r="AV6" s="162"/>
      <c r="AW6" s="162"/>
      <c r="AX6" s="162"/>
      <c r="AY6" s="162"/>
      <c r="AZ6" s="162"/>
      <c r="BA6" s="162"/>
      <c r="BB6" s="162"/>
      <c r="BC6" s="162"/>
      <c r="BD6" s="162"/>
      <c r="BE6" s="162"/>
      <c r="BF6" s="162"/>
      <c r="BG6" s="162"/>
      <c r="BH6" s="162"/>
      <c r="BI6" s="162"/>
      <c r="BJ6" s="164"/>
      <c r="BK6" s="32" t="str">
        <f t="shared" ref="BK6:BK7" si="2">IF(P6&lt;&gt;"",O6&amp;"_"&amp;P6&amp;".sql","")</f>
        <v>ENT_01_01_バックアップ_疾患データ_組み入れ第一条件.sql</v>
      </c>
    </row>
    <row r="7" spans="1:64" ht="37.5" hidden="1" customHeight="1" outlineLevel="1">
      <c r="A7" s="34" t="str">
        <f t="shared" ref="A7" si="3">P7</f>
        <v>バックアップ_患者マスタ_組入れ第一条件</v>
      </c>
      <c r="B7" s="148" t="str">
        <f t="shared" ref="B7" si="4">TEXT(1,"00")</f>
        <v>01</v>
      </c>
      <c r="C7" s="149"/>
      <c r="D7" s="149"/>
      <c r="E7" s="149"/>
      <c r="F7" s="150"/>
      <c r="G7" s="151" t="s">
        <v>196</v>
      </c>
      <c r="H7" s="152"/>
      <c r="I7" s="152"/>
      <c r="J7" s="152"/>
      <c r="K7" s="152"/>
      <c r="L7" s="152"/>
      <c r="M7" s="152"/>
      <c r="N7" s="153"/>
      <c r="O7" s="79" t="s">
        <v>3675</v>
      </c>
      <c r="P7" s="165" t="s">
        <v>3677</v>
      </c>
      <c r="Q7" s="166"/>
      <c r="R7" s="166"/>
      <c r="S7" s="166"/>
      <c r="T7" s="166"/>
      <c r="U7" s="166"/>
      <c r="V7" s="166"/>
      <c r="W7" s="166"/>
      <c r="X7" s="166"/>
      <c r="Y7" s="166"/>
      <c r="Z7" s="166"/>
      <c r="AA7" s="166"/>
      <c r="AB7" s="166"/>
      <c r="AC7" s="166"/>
      <c r="AD7" s="167"/>
      <c r="AE7" s="161" t="str">
        <f t="shared" ref="AE7" ca="1" si="5">IFERROR(INDIRECT(P7&amp;"!D8"),"")</f>
        <v>sny_202310_backup_kanja_first_criteria</v>
      </c>
      <c r="AF7" s="162"/>
      <c r="AG7" s="162"/>
      <c r="AH7" s="162"/>
      <c r="AI7" s="162"/>
      <c r="AJ7" s="162"/>
      <c r="AK7" s="162"/>
      <c r="AL7" s="163"/>
      <c r="AM7" s="161" t="str">
        <f t="shared" ref="AM7" ca="1" si="6">IFERROR(INDIRECT(P7&amp;"!D9"),"")</f>
        <v>患者マスタ_組入れ第一条件テーブルから組入れ条件の第一条件で絞り込んだ結果を格納するテーブル</v>
      </c>
      <c r="AN7" s="162"/>
      <c r="AO7" s="162"/>
      <c r="AP7" s="162"/>
      <c r="AQ7" s="162"/>
      <c r="AR7" s="162"/>
      <c r="AS7" s="162"/>
      <c r="AT7" s="162"/>
      <c r="AU7" s="162"/>
      <c r="AV7" s="162"/>
      <c r="AW7" s="162"/>
      <c r="AX7" s="162"/>
      <c r="AY7" s="162"/>
      <c r="AZ7" s="162"/>
      <c r="BA7" s="162"/>
      <c r="BB7" s="162"/>
      <c r="BC7" s="162"/>
      <c r="BD7" s="162"/>
      <c r="BE7" s="162"/>
      <c r="BF7" s="162"/>
      <c r="BG7" s="162"/>
      <c r="BH7" s="162"/>
      <c r="BI7" s="162"/>
      <c r="BJ7" s="164"/>
      <c r="BK7" s="32" t="str">
        <f t="shared" si="2"/>
        <v>ENT_01_02_バックアップ_患者マスタ_組入れ第一条件.sql</v>
      </c>
    </row>
    <row r="8" spans="1:64" ht="37.5" hidden="1" customHeight="1" outlineLevel="1">
      <c r="A8" s="34" t="str">
        <f t="shared" ref="A8:A19" si="7">P8</f>
        <v>バックアップ_処方データ</v>
      </c>
      <c r="B8" s="148" t="str">
        <f t="shared" ref="B8:B152" si="8">TEXT(1,"00")</f>
        <v>01</v>
      </c>
      <c r="C8" s="149"/>
      <c r="D8" s="149"/>
      <c r="E8" s="149"/>
      <c r="F8" s="150"/>
      <c r="G8" s="151" t="s">
        <v>196</v>
      </c>
      <c r="H8" s="152"/>
      <c r="I8" s="152"/>
      <c r="J8" s="152"/>
      <c r="K8" s="152"/>
      <c r="L8" s="152"/>
      <c r="M8" s="152"/>
      <c r="N8" s="153"/>
      <c r="O8" s="79" t="s">
        <v>3134</v>
      </c>
      <c r="P8" s="165" t="s">
        <v>1737</v>
      </c>
      <c r="Q8" s="166"/>
      <c r="R8" s="166"/>
      <c r="S8" s="166"/>
      <c r="T8" s="166"/>
      <c r="U8" s="166"/>
      <c r="V8" s="166"/>
      <c r="W8" s="166"/>
      <c r="X8" s="166"/>
      <c r="Y8" s="166"/>
      <c r="Z8" s="166"/>
      <c r="AA8" s="166"/>
      <c r="AB8" s="166"/>
      <c r="AC8" s="166"/>
      <c r="AD8" s="167"/>
      <c r="AE8" s="161" t="str">
        <f t="shared" ref="AE8:AE19" ca="1" si="9">IFERROR(INDIRECT(P8&amp;"!D8"),"")</f>
        <v>sny_202310_backup_mart_shohou</v>
      </c>
      <c r="AF8" s="162"/>
      <c r="AG8" s="162"/>
      <c r="AH8" s="162"/>
      <c r="AI8" s="162"/>
      <c r="AJ8" s="162"/>
      <c r="AK8" s="162"/>
      <c r="AL8" s="163"/>
      <c r="AM8" s="161" t="str">
        <f t="shared" ref="AM8:AM19" ca="1" si="10">IFERROR(INDIRECT(P8&amp;"!D9"),"")</f>
        <v>処方データテーブルから組入れ条件の第一条件で絞り込んだ結果を格納するテーブル</v>
      </c>
      <c r="AN8" s="162"/>
      <c r="AO8" s="162"/>
      <c r="AP8" s="162"/>
      <c r="AQ8" s="162"/>
      <c r="AR8" s="162"/>
      <c r="AS8" s="162"/>
      <c r="AT8" s="162"/>
      <c r="AU8" s="162"/>
      <c r="AV8" s="162"/>
      <c r="AW8" s="162"/>
      <c r="AX8" s="162"/>
      <c r="AY8" s="162"/>
      <c r="AZ8" s="162"/>
      <c r="BA8" s="162"/>
      <c r="BB8" s="162"/>
      <c r="BC8" s="162"/>
      <c r="BD8" s="162"/>
      <c r="BE8" s="162"/>
      <c r="BF8" s="162"/>
      <c r="BG8" s="162"/>
      <c r="BH8" s="162"/>
      <c r="BI8" s="162"/>
      <c r="BJ8" s="164"/>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48" t="str">
        <f t="shared" si="8"/>
        <v>01</v>
      </c>
      <c r="C9" s="149"/>
      <c r="D9" s="149"/>
      <c r="E9" s="149"/>
      <c r="F9" s="150"/>
      <c r="G9" s="151" t="s">
        <v>196</v>
      </c>
      <c r="H9" s="152"/>
      <c r="I9" s="152"/>
      <c r="J9" s="152"/>
      <c r="K9" s="152"/>
      <c r="L9" s="152"/>
      <c r="M9" s="152"/>
      <c r="N9" s="153"/>
      <c r="O9" s="79" t="s">
        <v>3135</v>
      </c>
      <c r="P9" s="165" t="s">
        <v>1764</v>
      </c>
      <c r="Q9" s="166"/>
      <c r="R9" s="166"/>
      <c r="S9" s="166"/>
      <c r="T9" s="166"/>
      <c r="U9" s="166"/>
      <c r="V9" s="166"/>
      <c r="W9" s="166"/>
      <c r="X9" s="166"/>
      <c r="Y9" s="166"/>
      <c r="Z9" s="166"/>
      <c r="AA9" s="166"/>
      <c r="AB9" s="166"/>
      <c r="AC9" s="166"/>
      <c r="AD9" s="167"/>
      <c r="AE9" s="161" t="str">
        <f t="shared" ca="1" si="9"/>
        <v>sny_202310_backup_mart_shinryou_koui</v>
      </c>
      <c r="AF9" s="162"/>
      <c r="AG9" s="162"/>
      <c r="AH9" s="162"/>
      <c r="AI9" s="162"/>
      <c r="AJ9" s="162"/>
      <c r="AK9" s="162"/>
      <c r="AL9" s="163"/>
      <c r="AM9" s="161" t="str">
        <f t="shared" ca="1" si="10"/>
        <v>診療行為データテーブルから組入れ条件の第一条件で絞り込んだ結果を格納するテーブル</v>
      </c>
      <c r="AN9" s="162"/>
      <c r="AO9" s="162"/>
      <c r="AP9" s="162"/>
      <c r="AQ9" s="162"/>
      <c r="AR9" s="162"/>
      <c r="AS9" s="162"/>
      <c r="AT9" s="162"/>
      <c r="AU9" s="162"/>
      <c r="AV9" s="162"/>
      <c r="AW9" s="162"/>
      <c r="AX9" s="162"/>
      <c r="AY9" s="162"/>
      <c r="AZ9" s="162"/>
      <c r="BA9" s="162"/>
      <c r="BB9" s="162"/>
      <c r="BC9" s="162"/>
      <c r="BD9" s="162"/>
      <c r="BE9" s="162"/>
      <c r="BF9" s="162"/>
      <c r="BG9" s="162"/>
      <c r="BH9" s="162"/>
      <c r="BI9" s="162"/>
      <c r="BJ9" s="164"/>
      <c r="BK9" s="32" t="str">
        <f t="shared" si="11"/>
        <v>ENT_01_A1-03_バックアップ_診療行為データ.sql</v>
      </c>
      <c r="BL9" s="32">
        <v>1</v>
      </c>
    </row>
    <row r="10" spans="1:64" ht="37.5" hidden="1" customHeight="1" outlineLevel="1">
      <c r="A10" s="34" t="str">
        <f t="shared" si="7"/>
        <v>バックアップ_疾患データ</v>
      </c>
      <c r="B10" s="148" t="str">
        <f t="shared" si="8"/>
        <v>01</v>
      </c>
      <c r="C10" s="149"/>
      <c r="D10" s="149"/>
      <c r="E10" s="149"/>
      <c r="F10" s="150"/>
      <c r="G10" s="151" t="s">
        <v>196</v>
      </c>
      <c r="H10" s="152"/>
      <c r="I10" s="152"/>
      <c r="J10" s="152"/>
      <c r="K10" s="152"/>
      <c r="L10" s="152"/>
      <c r="M10" s="152"/>
      <c r="N10" s="153"/>
      <c r="O10" s="79" t="s">
        <v>3136</v>
      </c>
      <c r="P10" s="165" t="s">
        <v>1773</v>
      </c>
      <c r="Q10" s="166"/>
      <c r="R10" s="166"/>
      <c r="S10" s="166"/>
      <c r="T10" s="166"/>
      <c r="U10" s="166"/>
      <c r="V10" s="166"/>
      <c r="W10" s="166"/>
      <c r="X10" s="166"/>
      <c r="Y10" s="166"/>
      <c r="Z10" s="166"/>
      <c r="AA10" s="166"/>
      <c r="AB10" s="166"/>
      <c r="AC10" s="166"/>
      <c r="AD10" s="167"/>
      <c r="AE10" s="161" t="str">
        <f t="shared" ca="1" si="9"/>
        <v>sny_202310_backup_mart_shikkan</v>
      </c>
      <c r="AF10" s="162"/>
      <c r="AG10" s="162"/>
      <c r="AH10" s="162"/>
      <c r="AI10" s="162"/>
      <c r="AJ10" s="162"/>
      <c r="AK10" s="162"/>
      <c r="AL10" s="163"/>
      <c r="AM10" s="161" t="str">
        <f t="shared" ca="1" si="10"/>
        <v>疾患データテーブルから組入れ条件の第一条件で絞り込んだ結果を格納するテーブル</v>
      </c>
      <c r="AN10" s="162"/>
      <c r="AO10" s="162"/>
      <c r="AP10" s="162"/>
      <c r="AQ10" s="162"/>
      <c r="AR10" s="162"/>
      <c r="AS10" s="162"/>
      <c r="AT10" s="162"/>
      <c r="AU10" s="162"/>
      <c r="AV10" s="162"/>
      <c r="AW10" s="162"/>
      <c r="AX10" s="162"/>
      <c r="AY10" s="162"/>
      <c r="AZ10" s="162"/>
      <c r="BA10" s="162"/>
      <c r="BB10" s="162"/>
      <c r="BC10" s="162"/>
      <c r="BD10" s="162"/>
      <c r="BE10" s="162"/>
      <c r="BF10" s="162"/>
      <c r="BG10" s="162"/>
      <c r="BH10" s="162"/>
      <c r="BI10" s="162"/>
      <c r="BJ10" s="164"/>
      <c r="BK10" s="32" t="str">
        <f t="shared" si="11"/>
        <v>ENT_01_A1-04_バックアップ_疾患データ.sql</v>
      </c>
    </row>
    <row r="11" spans="1:64" ht="37.5" hidden="1" customHeight="1" outlineLevel="1">
      <c r="A11" s="34" t="str">
        <f t="shared" si="7"/>
        <v>バックアップ_疾患診療科データ</v>
      </c>
      <c r="B11" s="148" t="str">
        <f t="shared" si="8"/>
        <v>01</v>
      </c>
      <c r="C11" s="149"/>
      <c r="D11" s="149"/>
      <c r="E11" s="149"/>
      <c r="F11" s="150"/>
      <c r="G11" s="151" t="s">
        <v>196</v>
      </c>
      <c r="H11" s="152"/>
      <c r="I11" s="152"/>
      <c r="J11" s="152"/>
      <c r="K11" s="152"/>
      <c r="L11" s="152"/>
      <c r="M11" s="152"/>
      <c r="N11" s="153"/>
      <c r="O11" s="79" t="s">
        <v>3137</v>
      </c>
      <c r="P11" s="165" t="s">
        <v>1800</v>
      </c>
      <c r="Q11" s="166"/>
      <c r="R11" s="166"/>
      <c r="S11" s="166"/>
      <c r="T11" s="166"/>
      <c r="U11" s="166"/>
      <c r="V11" s="166"/>
      <c r="W11" s="166"/>
      <c r="X11" s="166"/>
      <c r="Y11" s="166"/>
      <c r="Z11" s="166"/>
      <c r="AA11" s="166"/>
      <c r="AB11" s="166"/>
      <c r="AC11" s="166"/>
      <c r="AD11" s="167"/>
      <c r="AE11" s="161" t="str">
        <f t="shared" ca="1" si="9"/>
        <v>sny_202310_backup_mart_shikkan_department</v>
      </c>
      <c r="AF11" s="162"/>
      <c r="AG11" s="162"/>
      <c r="AH11" s="162"/>
      <c r="AI11" s="162"/>
      <c r="AJ11" s="162"/>
      <c r="AK11" s="162"/>
      <c r="AL11" s="163"/>
      <c r="AM11" s="161" t="str">
        <f t="shared" ca="1" si="10"/>
        <v>疾患診療科データテーブルから組入れ条件の第一条件で絞り込んだ結果を格納するテーブル</v>
      </c>
      <c r="AN11" s="162"/>
      <c r="AO11" s="162"/>
      <c r="AP11" s="162"/>
      <c r="AQ11" s="162"/>
      <c r="AR11" s="162"/>
      <c r="AS11" s="162"/>
      <c r="AT11" s="162"/>
      <c r="AU11" s="162"/>
      <c r="AV11" s="162"/>
      <c r="AW11" s="162"/>
      <c r="AX11" s="162"/>
      <c r="AY11" s="162"/>
      <c r="AZ11" s="162"/>
      <c r="BA11" s="162"/>
      <c r="BB11" s="162"/>
      <c r="BC11" s="162"/>
      <c r="BD11" s="162"/>
      <c r="BE11" s="162"/>
      <c r="BF11" s="162"/>
      <c r="BG11" s="162"/>
      <c r="BH11" s="162"/>
      <c r="BI11" s="162"/>
      <c r="BJ11" s="164"/>
      <c r="BK11" s="32" t="str">
        <f t="shared" si="11"/>
        <v>ENT_01_A1-05_バックアップ_疾患診療科データ.sql</v>
      </c>
    </row>
    <row r="12" spans="1:64" ht="37.5" hidden="1" customHeight="1" outlineLevel="1">
      <c r="A12" s="34" t="str">
        <f t="shared" si="7"/>
        <v>バックアップ_入院退院データ</v>
      </c>
      <c r="B12" s="148" t="str">
        <f t="shared" si="8"/>
        <v>01</v>
      </c>
      <c r="C12" s="149"/>
      <c r="D12" s="149"/>
      <c r="E12" s="149"/>
      <c r="F12" s="150"/>
      <c r="G12" s="151" t="s">
        <v>196</v>
      </c>
      <c r="H12" s="152"/>
      <c r="I12" s="152"/>
      <c r="J12" s="152"/>
      <c r="K12" s="152"/>
      <c r="L12" s="152"/>
      <c r="M12" s="152"/>
      <c r="N12" s="153"/>
      <c r="O12" s="79" t="s">
        <v>3138</v>
      </c>
      <c r="P12" s="165" t="s">
        <v>1808</v>
      </c>
      <c r="Q12" s="166"/>
      <c r="R12" s="166"/>
      <c r="S12" s="166"/>
      <c r="T12" s="166"/>
      <c r="U12" s="166"/>
      <c r="V12" s="166"/>
      <c r="W12" s="166"/>
      <c r="X12" s="166"/>
      <c r="Y12" s="166"/>
      <c r="Z12" s="166"/>
      <c r="AA12" s="166"/>
      <c r="AB12" s="166"/>
      <c r="AC12" s="166"/>
      <c r="AD12" s="167"/>
      <c r="AE12" s="161" t="str">
        <f t="shared" ca="1" si="9"/>
        <v>sny_202310_backup_mart_nyu_tai_in</v>
      </c>
      <c r="AF12" s="162"/>
      <c r="AG12" s="162"/>
      <c r="AH12" s="162"/>
      <c r="AI12" s="162"/>
      <c r="AJ12" s="162"/>
      <c r="AK12" s="162"/>
      <c r="AL12" s="163"/>
      <c r="AM12" s="161" t="str">
        <f t="shared" ca="1" si="10"/>
        <v>入院退院データテーブルから組入れ条件の第一条件で絞り込んだ結果を格納するテーブル</v>
      </c>
      <c r="AN12" s="162"/>
      <c r="AO12" s="162"/>
      <c r="AP12" s="162"/>
      <c r="AQ12" s="162"/>
      <c r="AR12" s="162"/>
      <c r="AS12" s="162"/>
      <c r="AT12" s="162"/>
      <c r="AU12" s="162"/>
      <c r="AV12" s="162"/>
      <c r="AW12" s="162"/>
      <c r="AX12" s="162"/>
      <c r="AY12" s="162"/>
      <c r="AZ12" s="162"/>
      <c r="BA12" s="162"/>
      <c r="BB12" s="162"/>
      <c r="BC12" s="162"/>
      <c r="BD12" s="162"/>
      <c r="BE12" s="162"/>
      <c r="BF12" s="162"/>
      <c r="BG12" s="162"/>
      <c r="BH12" s="162"/>
      <c r="BI12" s="162"/>
      <c r="BJ12" s="164"/>
      <c r="BK12" s="32" t="str">
        <f t="shared" si="11"/>
        <v>ENT_01_A1-06_バックアップ_入院退院データ.sql</v>
      </c>
      <c r="BL12" s="32">
        <v>1</v>
      </c>
    </row>
    <row r="13" spans="1:64" ht="37.5" hidden="1" customHeight="1" outlineLevel="1">
      <c r="A13" s="34" t="str">
        <f t="shared" si="7"/>
        <v>バックアップ_二次利用DB登録患者データ</v>
      </c>
      <c r="B13" s="148" t="str">
        <f t="shared" si="8"/>
        <v>01</v>
      </c>
      <c r="C13" s="149"/>
      <c r="D13" s="149"/>
      <c r="E13" s="149"/>
      <c r="F13" s="150"/>
      <c r="G13" s="151" t="s">
        <v>196</v>
      </c>
      <c r="H13" s="152"/>
      <c r="I13" s="152"/>
      <c r="J13" s="152"/>
      <c r="K13" s="152"/>
      <c r="L13" s="152"/>
      <c r="M13" s="152"/>
      <c r="N13" s="153"/>
      <c r="O13" s="79" t="s">
        <v>3139</v>
      </c>
      <c r="P13" s="165" t="s">
        <v>1821</v>
      </c>
      <c r="Q13" s="166"/>
      <c r="R13" s="166"/>
      <c r="S13" s="166"/>
      <c r="T13" s="166"/>
      <c r="U13" s="166"/>
      <c r="V13" s="166"/>
      <c r="W13" s="166"/>
      <c r="X13" s="166"/>
      <c r="Y13" s="166"/>
      <c r="Z13" s="166"/>
      <c r="AA13" s="166"/>
      <c r="AB13" s="166"/>
      <c r="AC13" s="166"/>
      <c r="AD13" s="167"/>
      <c r="AE13" s="161" t="str">
        <f t="shared" ca="1" si="9"/>
        <v>sny_202310_backup_mart_2riyo_patient_id</v>
      </c>
      <c r="AF13" s="162"/>
      <c r="AG13" s="162"/>
      <c r="AH13" s="162"/>
      <c r="AI13" s="162"/>
      <c r="AJ13" s="162"/>
      <c r="AK13" s="162"/>
      <c r="AL13" s="163"/>
      <c r="AM13" s="161" t="str">
        <f t="shared" ca="1" si="10"/>
        <v>二次利用DB登録患者データテーブルから組入れ条件の第一条件で絞り込んだ結果を格納するテーブル</v>
      </c>
      <c r="AN13" s="162"/>
      <c r="AO13" s="162"/>
      <c r="AP13" s="162"/>
      <c r="AQ13" s="162"/>
      <c r="AR13" s="162"/>
      <c r="AS13" s="162"/>
      <c r="AT13" s="162"/>
      <c r="AU13" s="162"/>
      <c r="AV13" s="162"/>
      <c r="AW13" s="162"/>
      <c r="AX13" s="162"/>
      <c r="AY13" s="162"/>
      <c r="AZ13" s="162"/>
      <c r="BA13" s="162"/>
      <c r="BB13" s="162"/>
      <c r="BC13" s="162"/>
      <c r="BD13" s="162"/>
      <c r="BE13" s="162"/>
      <c r="BF13" s="162"/>
      <c r="BG13" s="162"/>
      <c r="BH13" s="162"/>
      <c r="BI13" s="162"/>
      <c r="BJ13" s="164"/>
      <c r="BK13" s="32" t="str">
        <f t="shared" si="11"/>
        <v>ENT_01_A1-07_バックアップ_二次利用DB登録患者データ.sql</v>
      </c>
    </row>
    <row r="14" spans="1:64" ht="37.5" hidden="1" customHeight="1" outlineLevel="1">
      <c r="A14" s="34" t="str">
        <f t="shared" si="7"/>
        <v>バックアップ_二次利用DB登録患者データ_DPC</v>
      </c>
      <c r="B14" s="148" t="str">
        <f t="shared" si="8"/>
        <v>01</v>
      </c>
      <c r="C14" s="149"/>
      <c r="D14" s="149"/>
      <c r="E14" s="149"/>
      <c r="F14" s="150"/>
      <c r="G14" s="151" t="s">
        <v>196</v>
      </c>
      <c r="H14" s="152"/>
      <c r="I14" s="152"/>
      <c r="J14" s="152"/>
      <c r="K14" s="152"/>
      <c r="L14" s="152"/>
      <c r="M14" s="152"/>
      <c r="N14" s="153"/>
      <c r="O14" s="79" t="s">
        <v>3140</v>
      </c>
      <c r="P14" s="165" t="s">
        <v>1827</v>
      </c>
      <c r="Q14" s="166"/>
      <c r="R14" s="166"/>
      <c r="S14" s="166"/>
      <c r="T14" s="166"/>
      <c r="U14" s="166"/>
      <c r="V14" s="166"/>
      <c r="W14" s="166"/>
      <c r="X14" s="166"/>
      <c r="Y14" s="166"/>
      <c r="Z14" s="166"/>
      <c r="AA14" s="166"/>
      <c r="AB14" s="166"/>
      <c r="AC14" s="166"/>
      <c r="AD14" s="167"/>
      <c r="AE14" s="161" t="str">
        <f t="shared" ca="1" si="9"/>
        <v>sny_202310_backup_mart_2riyo_patient_id_dpc</v>
      </c>
      <c r="AF14" s="162"/>
      <c r="AG14" s="162"/>
      <c r="AH14" s="162"/>
      <c r="AI14" s="162"/>
      <c r="AJ14" s="162"/>
      <c r="AK14" s="162"/>
      <c r="AL14" s="163"/>
      <c r="AM14" s="161" t="str">
        <f t="shared" ca="1" si="10"/>
        <v>二次利用DB登録患者データ_DPCテーブルから組入れ条件の第一条件で絞り込んだ結果を格納するテーブル</v>
      </c>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4"/>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48" t="str">
        <f t="shared" si="8"/>
        <v>01</v>
      </c>
      <c r="C15" s="149"/>
      <c r="D15" s="149"/>
      <c r="E15" s="149"/>
      <c r="F15" s="150"/>
      <c r="G15" s="151" t="s">
        <v>196</v>
      </c>
      <c r="H15" s="152"/>
      <c r="I15" s="152"/>
      <c r="J15" s="152"/>
      <c r="K15" s="152"/>
      <c r="L15" s="152"/>
      <c r="M15" s="152"/>
      <c r="N15" s="153"/>
      <c r="O15" s="79" t="s">
        <v>3141</v>
      </c>
      <c r="P15" s="165" t="s">
        <v>1837</v>
      </c>
      <c r="Q15" s="166"/>
      <c r="R15" s="166"/>
      <c r="S15" s="166"/>
      <c r="T15" s="166"/>
      <c r="U15" s="166"/>
      <c r="V15" s="166"/>
      <c r="W15" s="166"/>
      <c r="X15" s="166"/>
      <c r="Y15" s="166"/>
      <c r="Z15" s="166"/>
      <c r="AA15" s="166"/>
      <c r="AB15" s="166"/>
      <c r="AC15" s="166"/>
      <c r="AD15" s="167"/>
      <c r="AE15" s="161" t="str">
        <f t="shared" ca="1" si="9"/>
        <v>sny_202310_backup_mart_2riyo_patient_id_rcp</v>
      </c>
      <c r="AF15" s="162"/>
      <c r="AG15" s="162"/>
      <c r="AH15" s="162"/>
      <c r="AI15" s="162"/>
      <c r="AJ15" s="162"/>
      <c r="AK15" s="162"/>
      <c r="AL15" s="163"/>
      <c r="AM15" s="161" t="str">
        <f t="shared" ca="1" si="10"/>
        <v>二次利用DB登録患者データ_レセプトテーブルから組入れ条件の第一条件で絞り込んだ結果を格納するテーブル</v>
      </c>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4"/>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48" t="str">
        <f t="shared" si="8"/>
        <v>01</v>
      </c>
      <c r="C16" s="149"/>
      <c r="D16" s="149"/>
      <c r="E16" s="149"/>
      <c r="F16" s="150"/>
      <c r="G16" s="151" t="s">
        <v>196</v>
      </c>
      <c r="H16" s="152"/>
      <c r="I16" s="152"/>
      <c r="J16" s="152"/>
      <c r="K16" s="152"/>
      <c r="L16" s="152"/>
      <c r="M16" s="152"/>
      <c r="N16" s="153"/>
      <c r="O16" s="79" t="s">
        <v>3142</v>
      </c>
      <c r="P16" s="165" t="s">
        <v>1840</v>
      </c>
      <c r="Q16" s="166"/>
      <c r="R16" s="166"/>
      <c r="S16" s="166"/>
      <c r="T16" s="166"/>
      <c r="U16" s="166"/>
      <c r="V16" s="166"/>
      <c r="W16" s="166"/>
      <c r="X16" s="166"/>
      <c r="Y16" s="166"/>
      <c r="Z16" s="166"/>
      <c r="AA16" s="166"/>
      <c r="AB16" s="166"/>
      <c r="AC16" s="166"/>
      <c r="AD16" s="167"/>
      <c r="AE16" s="161" t="str">
        <f t="shared" ca="1" si="9"/>
        <v>sny_202310_backup_mart_2riyo_patient_id_mml</v>
      </c>
      <c r="AF16" s="162"/>
      <c r="AG16" s="162"/>
      <c r="AH16" s="162"/>
      <c r="AI16" s="162"/>
      <c r="AJ16" s="162"/>
      <c r="AK16" s="162"/>
      <c r="AL16" s="163"/>
      <c r="AM16" s="161" t="str">
        <f t="shared" ca="1" si="10"/>
        <v>二次利用DB登録患者データ_MMLテーブルから組入れ条件の第一条件で絞り込んだ結果を格納するテーブル</v>
      </c>
      <c r="AN16" s="162"/>
      <c r="AO16" s="162"/>
      <c r="AP16" s="162"/>
      <c r="AQ16" s="162"/>
      <c r="AR16" s="162"/>
      <c r="AS16" s="162"/>
      <c r="AT16" s="162"/>
      <c r="AU16" s="162"/>
      <c r="AV16" s="162"/>
      <c r="AW16" s="162"/>
      <c r="AX16" s="162"/>
      <c r="AY16" s="162"/>
      <c r="AZ16" s="162"/>
      <c r="BA16" s="162"/>
      <c r="BB16" s="162"/>
      <c r="BC16" s="162"/>
      <c r="BD16" s="162"/>
      <c r="BE16" s="162"/>
      <c r="BF16" s="162"/>
      <c r="BG16" s="162"/>
      <c r="BH16" s="162"/>
      <c r="BI16" s="162"/>
      <c r="BJ16" s="164"/>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48" t="str">
        <f t="shared" si="8"/>
        <v>01</v>
      </c>
      <c r="C17" s="149"/>
      <c r="D17" s="149"/>
      <c r="E17" s="149"/>
      <c r="F17" s="150"/>
      <c r="G17" s="151" t="s">
        <v>196</v>
      </c>
      <c r="H17" s="152"/>
      <c r="I17" s="152"/>
      <c r="J17" s="152"/>
      <c r="K17" s="152"/>
      <c r="L17" s="152"/>
      <c r="M17" s="152"/>
      <c r="N17" s="153"/>
      <c r="O17" s="79" t="s">
        <v>3143</v>
      </c>
      <c r="P17" s="165" t="s">
        <v>1844</v>
      </c>
      <c r="Q17" s="166"/>
      <c r="R17" s="166"/>
      <c r="S17" s="166"/>
      <c r="T17" s="166"/>
      <c r="U17" s="166"/>
      <c r="V17" s="166"/>
      <c r="W17" s="166"/>
      <c r="X17" s="166"/>
      <c r="Y17" s="166"/>
      <c r="Z17" s="166"/>
      <c r="AA17" s="166"/>
      <c r="AB17" s="166"/>
      <c r="AC17" s="166"/>
      <c r="AD17" s="167"/>
      <c r="AE17" s="161" t="str">
        <f t="shared" ca="1" si="9"/>
        <v>sny_202310_backup_mart_2riyo_patient_himoduke</v>
      </c>
      <c r="AF17" s="162"/>
      <c r="AG17" s="162"/>
      <c r="AH17" s="162"/>
      <c r="AI17" s="162"/>
      <c r="AJ17" s="162"/>
      <c r="AK17" s="162"/>
      <c r="AL17" s="163"/>
      <c r="AM17" s="161" t="str">
        <f t="shared" ca="1" si="10"/>
        <v>二次利用DB登録患者紐付けデータテーブルから組入れ条件の第一条件で絞り込んだ結果を格納するテーブル</v>
      </c>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4"/>
      <c r="BK17" s="32" t="str">
        <f t="shared" si="11"/>
        <v>ENT_01_A1-11_バックアップ_二次利用DB登録患者紐付けデータ.sql</v>
      </c>
    </row>
    <row r="18" spans="1:64" ht="37.5" hidden="1" customHeight="1" outlineLevel="1">
      <c r="A18" s="34" t="str">
        <f t="shared" si="7"/>
        <v>バックアップ_エラー患者データ</v>
      </c>
      <c r="B18" s="148" t="str">
        <f t="shared" si="8"/>
        <v>01</v>
      </c>
      <c r="C18" s="149"/>
      <c r="D18" s="149"/>
      <c r="E18" s="149"/>
      <c r="F18" s="150"/>
      <c r="G18" s="151" t="s">
        <v>196</v>
      </c>
      <c r="H18" s="152"/>
      <c r="I18" s="152"/>
      <c r="J18" s="152"/>
      <c r="K18" s="152"/>
      <c r="L18" s="152"/>
      <c r="M18" s="152"/>
      <c r="N18" s="153"/>
      <c r="O18" s="79" t="s">
        <v>3144</v>
      </c>
      <c r="P18" s="165" t="s">
        <v>1850</v>
      </c>
      <c r="Q18" s="166"/>
      <c r="R18" s="166"/>
      <c r="S18" s="166"/>
      <c r="T18" s="166"/>
      <c r="U18" s="166"/>
      <c r="V18" s="166"/>
      <c r="W18" s="166"/>
      <c r="X18" s="166"/>
      <c r="Y18" s="166"/>
      <c r="Z18" s="166"/>
      <c r="AA18" s="166"/>
      <c r="AB18" s="166"/>
      <c r="AC18" s="166"/>
      <c r="AD18" s="167"/>
      <c r="AE18" s="161" t="str">
        <f t="shared" ca="1" si="9"/>
        <v>sny_202310_backup_mart_error_patient</v>
      </c>
      <c r="AF18" s="162"/>
      <c r="AG18" s="162"/>
      <c r="AH18" s="162"/>
      <c r="AI18" s="162"/>
      <c r="AJ18" s="162"/>
      <c r="AK18" s="162"/>
      <c r="AL18" s="163"/>
      <c r="AM18" s="161" t="str">
        <f t="shared" ca="1" si="10"/>
        <v>エラー患者データテーブルから組入れ条件の第一条件で絞り込んだ結果を格納するテーブル</v>
      </c>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4"/>
      <c r="BK18" s="32" t="str">
        <f t="shared" si="11"/>
        <v>ENT_01_A1-13_バックアップ_エラー患者データ.sql</v>
      </c>
    </row>
    <row r="19" spans="1:64" ht="37.5" hidden="1" customHeight="1" outlineLevel="1">
      <c r="A19" s="34" t="str">
        <f t="shared" si="7"/>
        <v>バックアップ_患者基本データ</v>
      </c>
      <c r="B19" s="148" t="str">
        <f t="shared" si="8"/>
        <v>01</v>
      </c>
      <c r="C19" s="149"/>
      <c r="D19" s="149"/>
      <c r="E19" s="149"/>
      <c r="F19" s="150"/>
      <c r="G19" s="151" t="s">
        <v>196</v>
      </c>
      <c r="H19" s="152"/>
      <c r="I19" s="152"/>
      <c r="J19" s="152"/>
      <c r="K19" s="152"/>
      <c r="L19" s="152"/>
      <c r="M19" s="152"/>
      <c r="N19" s="153"/>
      <c r="O19" s="79" t="s">
        <v>3145</v>
      </c>
      <c r="P19" s="165" t="s">
        <v>1851</v>
      </c>
      <c r="Q19" s="166"/>
      <c r="R19" s="166"/>
      <c r="S19" s="166"/>
      <c r="T19" s="166"/>
      <c r="U19" s="166"/>
      <c r="V19" s="166"/>
      <c r="W19" s="166"/>
      <c r="X19" s="166"/>
      <c r="Y19" s="166"/>
      <c r="Z19" s="166"/>
      <c r="AA19" s="166"/>
      <c r="AB19" s="166"/>
      <c r="AC19" s="166"/>
      <c r="AD19" s="167"/>
      <c r="AE19" s="161" t="str">
        <f t="shared" ca="1" si="9"/>
        <v>sny_202310_backup_mart_patient_basic</v>
      </c>
      <c r="AF19" s="162"/>
      <c r="AG19" s="162"/>
      <c r="AH19" s="162"/>
      <c r="AI19" s="162"/>
      <c r="AJ19" s="162"/>
      <c r="AK19" s="162"/>
      <c r="AL19" s="163"/>
      <c r="AM19" s="161" t="str">
        <f t="shared" ca="1" si="10"/>
        <v>患者基本データテーブルから組入れ条件の第一条件で絞り込んだ結果を格納するテーブル</v>
      </c>
      <c r="AN19" s="162"/>
      <c r="AO19" s="162"/>
      <c r="AP19" s="162"/>
      <c r="AQ19" s="162"/>
      <c r="AR19" s="162"/>
      <c r="AS19" s="162"/>
      <c r="AT19" s="162"/>
      <c r="AU19" s="162"/>
      <c r="AV19" s="162"/>
      <c r="AW19" s="162"/>
      <c r="AX19" s="162"/>
      <c r="AY19" s="162"/>
      <c r="AZ19" s="162"/>
      <c r="BA19" s="162"/>
      <c r="BB19" s="162"/>
      <c r="BC19" s="162"/>
      <c r="BD19" s="162"/>
      <c r="BE19" s="162"/>
      <c r="BF19" s="162"/>
      <c r="BG19" s="162"/>
      <c r="BH19" s="162"/>
      <c r="BI19" s="162"/>
      <c r="BJ19" s="164"/>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48" t="str">
        <f t="shared" si="8"/>
        <v>01</v>
      </c>
      <c r="C20" s="149"/>
      <c r="D20" s="149"/>
      <c r="E20" s="149"/>
      <c r="F20" s="150"/>
      <c r="G20" s="151" t="s">
        <v>196</v>
      </c>
      <c r="H20" s="152"/>
      <c r="I20" s="152"/>
      <c r="J20" s="152"/>
      <c r="K20" s="152"/>
      <c r="L20" s="152"/>
      <c r="M20" s="152"/>
      <c r="N20" s="153"/>
      <c r="O20" s="79" t="s">
        <v>3146</v>
      </c>
      <c r="P20" s="165" t="s">
        <v>1857</v>
      </c>
      <c r="Q20" s="166"/>
      <c r="R20" s="166"/>
      <c r="S20" s="166"/>
      <c r="T20" s="166"/>
      <c r="U20" s="166"/>
      <c r="V20" s="166"/>
      <c r="W20" s="166"/>
      <c r="X20" s="166"/>
      <c r="Y20" s="166"/>
      <c r="Z20" s="166"/>
      <c r="AA20" s="166"/>
      <c r="AB20" s="166"/>
      <c r="AC20" s="166"/>
      <c r="AD20" s="167"/>
      <c r="AE20" s="161" t="str">
        <f t="shared" ref="AE20:AE71" ca="1" si="13">IFERROR(INDIRECT(P20&amp;"!D8"),"")</f>
        <v>sny_202310_backup_mt_shisetsu_zokusei</v>
      </c>
      <c r="AF20" s="162"/>
      <c r="AG20" s="162"/>
      <c r="AH20" s="162"/>
      <c r="AI20" s="162"/>
      <c r="AJ20" s="162"/>
      <c r="AK20" s="162"/>
      <c r="AL20" s="163"/>
      <c r="AM20" s="161" t="str">
        <f t="shared" ref="AM20:AM71" ca="1" si="14">IFERROR(INDIRECT(P20&amp;"!D9"),"")</f>
        <v>施設属性マスタ取込用テーブルから組入れ条件の第一条件で絞り込んだ結果を格納するテーブル</v>
      </c>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4"/>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48" t="str">
        <f t="shared" si="8"/>
        <v>01</v>
      </c>
      <c r="C21" s="149"/>
      <c r="D21" s="149"/>
      <c r="E21" s="149"/>
      <c r="F21" s="150"/>
      <c r="G21" s="151" t="s">
        <v>196</v>
      </c>
      <c r="H21" s="152"/>
      <c r="I21" s="152"/>
      <c r="J21" s="152"/>
      <c r="K21" s="152"/>
      <c r="L21" s="152"/>
      <c r="M21" s="152"/>
      <c r="N21" s="153"/>
      <c r="O21" s="79" t="s">
        <v>3147</v>
      </c>
      <c r="P21" s="165" t="s">
        <v>1893</v>
      </c>
      <c r="Q21" s="166"/>
      <c r="R21" s="166"/>
      <c r="S21" s="166"/>
      <c r="T21" s="166"/>
      <c r="U21" s="166"/>
      <c r="V21" s="166"/>
      <c r="W21" s="166"/>
      <c r="X21" s="166"/>
      <c r="Y21" s="166"/>
      <c r="Z21" s="166"/>
      <c r="AA21" s="166"/>
      <c r="AB21" s="166"/>
      <c r="AC21" s="166"/>
      <c r="AD21" s="167"/>
      <c r="AE21" s="161" t="str">
        <f t="shared" ca="1" si="13"/>
        <v>sny_202310_backup_mt_iryouken2</v>
      </c>
      <c r="AF21" s="162"/>
      <c r="AG21" s="162"/>
      <c r="AH21" s="162"/>
      <c r="AI21" s="162"/>
      <c r="AJ21" s="162"/>
      <c r="AK21" s="162"/>
      <c r="AL21" s="163"/>
      <c r="AM21" s="161" t="str">
        <f t="shared" ca="1" si="14"/>
        <v>二次医療圏マスタ取込用テーブルから組入れ条件の第一条件で絞り込んだ結果を格納するテーブル</v>
      </c>
      <c r="AN21" s="162"/>
      <c r="AO21" s="162"/>
      <c r="AP21" s="162"/>
      <c r="AQ21" s="162"/>
      <c r="AR21" s="162"/>
      <c r="AS21" s="162"/>
      <c r="AT21" s="162"/>
      <c r="AU21" s="162"/>
      <c r="AV21" s="162"/>
      <c r="AW21" s="162"/>
      <c r="AX21" s="162"/>
      <c r="AY21" s="162"/>
      <c r="AZ21" s="162"/>
      <c r="BA21" s="162"/>
      <c r="BB21" s="162"/>
      <c r="BC21" s="162"/>
      <c r="BD21" s="162"/>
      <c r="BE21" s="162"/>
      <c r="BF21" s="162"/>
      <c r="BG21" s="162"/>
      <c r="BH21" s="162"/>
      <c r="BI21" s="162"/>
      <c r="BJ21" s="164"/>
      <c r="BK21" s="32" t="str">
        <f t="shared" si="15"/>
        <v>ENT_01_A3-03_バックアップ_二次医療圏マスタ取込用.sql</v>
      </c>
    </row>
    <row r="22" spans="1:64" ht="37.5" hidden="1" customHeight="1" outlineLevel="1">
      <c r="A22" s="34" t="str">
        <f t="shared" si="12"/>
        <v>バックアップ_新旧医薬品コードマスタ取込用</v>
      </c>
      <c r="B22" s="148" t="str">
        <f t="shared" si="8"/>
        <v>01</v>
      </c>
      <c r="C22" s="149"/>
      <c r="D22" s="149"/>
      <c r="E22" s="149"/>
      <c r="F22" s="150"/>
      <c r="G22" s="151" t="s">
        <v>196</v>
      </c>
      <c r="H22" s="152"/>
      <c r="I22" s="152"/>
      <c r="J22" s="152"/>
      <c r="K22" s="152"/>
      <c r="L22" s="152"/>
      <c r="M22" s="152"/>
      <c r="N22" s="153"/>
      <c r="O22" s="79" t="s">
        <v>3148</v>
      </c>
      <c r="P22" s="165" t="s">
        <v>1913</v>
      </c>
      <c r="Q22" s="166"/>
      <c r="R22" s="166"/>
      <c r="S22" s="166"/>
      <c r="T22" s="166"/>
      <c r="U22" s="166"/>
      <c r="V22" s="166"/>
      <c r="W22" s="166"/>
      <c r="X22" s="166"/>
      <c r="Y22" s="166"/>
      <c r="Z22" s="166"/>
      <c r="AA22" s="166"/>
      <c r="AB22" s="166"/>
      <c r="AC22" s="166"/>
      <c r="AD22" s="167"/>
      <c r="AE22" s="161" t="str">
        <f t="shared" ca="1" si="13"/>
        <v>sny_202310_backup_mt_old_new_iyakuhin</v>
      </c>
      <c r="AF22" s="162"/>
      <c r="AG22" s="162"/>
      <c r="AH22" s="162"/>
      <c r="AI22" s="162"/>
      <c r="AJ22" s="162"/>
      <c r="AK22" s="162"/>
      <c r="AL22" s="163"/>
      <c r="AM22" s="161" t="str">
        <f t="shared" ca="1" si="14"/>
        <v>新旧医薬品コードマスタ取込用テーブルから組入れ条件の第一条件で絞り込んだ結果を格納するテーブル</v>
      </c>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4"/>
      <c r="BK22" s="32" t="str">
        <f t="shared" si="15"/>
        <v>ENT_01_A3-04_バックアップ_新旧医薬品コードマスタ取込用.sql</v>
      </c>
    </row>
    <row r="23" spans="1:64" ht="37.5" hidden="1" customHeight="1" outlineLevel="1">
      <c r="A23" s="34" t="str">
        <f t="shared" si="12"/>
        <v>バックアップ_DPC6ICD10対応表マスタ取込用</v>
      </c>
      <c r="B23" s="148" t="str">
        <f t="shared" si="8"/>
        <v>01</v>
      </c>
      <c r="C23" s="149"/>
      <c r="D23" s="149"/>
      <c r="E23" s="149"/>
      <c r="F23" s="150"/>
      <c r="G23" s="151" t="s">
        <v>196</v>
      </c>
      <c r="H23" s="152"/>
      <c r="I23" s="152"/>
      <c r="J23" s="152"/>
      <c r="K23" s="152"/>
      <c r="L23" s="152"/>
      <c r="M23" s="152"/>
      <c r="N23" s="153"/>
      <c r="O23" s="79" t="s">
        <v>3149</v>
      </c>
      <c r="P23" s="165" t="s">
        <v>1927</v>
      </c>
      <c r="Q23" s="166"/>
      <c r="R23" s="166"/>
      <c r="S23" s="166"/>
      <c r="T23" s="166"/>
      <c r="U23" s="166"/>
      <c r="V23" s="166"/>
      <c r="W23" s="166"/>
      <c r="X23" s="166"/>
      <c r="Y23" s="166"/>
      <c r="Z23" s="166"/>
      <c r="AA23" s="166"/>
      <c r="AB23" s="166"/>
      <c r="AC23" s="166"/>
      <c r="AD23" s="167"/>
      <c r="AE23" s="161" t="str">
        <f t="shared" ca="1" si="13"/>
        <v>sny_202310_backup_mt_dpc6_icd</v>
      </c>
      <c r="AF23" s="162"/>
      <c r="AG23" s="162"/>
      <c r="AH23" s="162"/>
      <c r="AI23" s="162"/>
      <c r="AJ23" s="162"/>
      <c r="AK23" s="162"/>
      <c r="AL23" s="163"/>
      <c r="AM23" s="161" t="str">
        <f t="shared" ca="1" si="14"/>
        <v>DPC6ICD10対応表マスタ取込用テーブルから組入れ条件の第一条件で絞り込んだ結果を格納するテーブル</v>
      </c>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4"/>
      <c r="BK23" s="32" t="str">
        <f t="shared" si="15"/>
        <v>ENT_01_A3-05_バックアップ_DPC6ICD10対応表マスタ取込用.sql</v>
      </c>
    </row>
    <row r="24" spans="1:64" ht="37.5" hidden="1" customHeight="1" outlineLevel="1">
      <c r="A24" s="34" t="str">
        <f t="shared" si="12"/>
        <v>バックアップ_修飾語マスタ取込用</v>
      </c>
      <c r="B24" s="148" t="str">
        <f t="shared" si="8"/>
        <v>01</v>
      </c>
      <c r="C24" s="149"/>
      <c r="D24" s="149"/>
      <c r="E24" s="149"/>
      <c r="F24" s="150"/>
      <c r="G24" s="151" t="s">
        <v>196</v>
      </c>
      <c r="H24" s="152"/>
      <c r="I24" s="152"/>
      <c r="J24" s="152"/>
      <c r="K24" s="152"/>
      <c r="L24" s="152"/>
      <c r="M24" s="152"/>
      <c r="N24" s="153"/>
      <c r="O24" s="79" t="s">
        <v>3150</v>
      </c>
      <c r="P24" s="165" t="s">
        <v>1945</v>
      </c>
      <c r="Q24" s="166"/>
      <c r="R24" s="166"/>
      <c r="S24" s="166"/>
      <c r="T24" s="166"/>
      <c r="U24" s="166"/>
      <c r="V24" s="166"/>
      <c r="W24" s="166"/>
      <c r="X24" s="166"/>
      <c r="Y24" s="166"/>
      <c r="Z24" s="166"/>
      <c r="AA24" s="166"/>
      <c r="AB24" s="166"/>
      <c r="AC24" s="166"/>
      <c r="AD24" s="167"/>
      <c r="AE24" s="161" t="str">
        <f t="shared" ca="1" si="13"/>
        <v>sny_202310_backup_mt_syusyokugo</v>
      </c>
      <c r="AF24" s="162"/>
      <c r="AG24" s="162"/>
      <c r="AH24" s="162"/>
      <c r="AI24" s="162"/>
      <c r="AJ24" s="162"/>
      <c r="AK24" s="162"/>
      <c r="AL24" s="163"/>
      <c r="AM24" s="161" t="str">
        <f t="shared" ca="1" si="14"/>
        <v>修飾語マスタ取込用テーブルから組入れ条件の第一条件で絞り込んだ結果を格納するテーブル</v>
      </c>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4"/>
      <c r="BK24" s="32" t="str">
        <f t="shared" si="15"/>
        <v>ENT_01_A3-06_バックアップ_修飾語マスタ取込用.sql</v>
      </c>
    </row>
    <row r="25" spans="1:64" ht="37.5" hidden="1" customHeight="1" outlineLevel="1">
      <c r="A25" s="34" t="str">
        <f t="shared" si="12"/>
        <v>バックアップ_コメントマスタ取込用</v>
      </c>
      <c r="B25" s="148" t="str">
        <f t="shared" si="8"/>
        <v>01</v>
      </c>
      <c r="C25" s="149"/>
      <c r="D25" s="149"/>
      <c r="E25" s="149"/>
      <c r="F25" s="150"/>
      <c r="G25" s="151" t="s">
        <v>196</v>
      </c>
      <c r="H25" s="152"/>
      <c r="I25" s="152"/>
      <c r="J25" s="152"/>
      <c r="K25" s="152"/>
      <c r="L25" s="152"/>
      <c r="M25" s="152"/>
      <c r="N25" s="153"/>
      <c r="O25" s="79" t="s">
        <v>3151</v>
      </c>
      <c r="P25" s="165" t="s">
        <v>1982</v>
      </c>
      <c r="Q25" s="166"/>
      <c r="R25" s="166"/>
      <c r="S25" s="166"/>
      <c r="T25" s="166"/>
      <c r="U25" s="166"/>
      <c r="V25" s="166"/>
      <c r="W25" s="166"/>
      <c r="X25" s="166"/>
      <c r="Y25" s="166"/>
      <c r="Z25" s="166"/>
      <c r="AA25" s="166"/>
      <c r="AB25" s="166"/>
      <c r="AC25" s="166"/>
      <c r="AD25" s="167"/>
      <c r="AE25" s="161" t="str">
        <f t="shared" ca="1" si="13"/>
        <v>sny_202310_backup_mt_comment</v>
      </c>
      <c r="AF25" s="162"/>
      <c r="AG25" s="162"/>
      <c r="AH25" s="162"/>
      <c r="AI25" s="162"/>
      <c r="AJ25" s="162"/>
      <c r="AK25" s="162"/>
      <c r="AL25" s="163"/>
      <c r="AM25" s="161" t="str">
        <f t="shared" ca="1" si="14"/>
        <v>コメントマスタ取込用テーブルから組入れ条件の第一条件で絞り込んだ結果を格納するテーブル</v>
      </c>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4"/>
      <c r="BK25" s="32" t="str">
        <f t="shared" si="15"/>
        <v>ENT_01_A3-07_バックアップ_コメントマスタ取込用.sql</v>
      </c>
    </row>
    <row r="26" spans="1:64" ht="37.5" hidden="1" customHeight="1" outlineLevel="1">
      <c r="A26" s="34" t="str">
        <f t="shared" si="12"/>
        <v>バックアップ_成分量マスタ取込用</v>
      </c>
      <c r="B26" s="148" t="str">
        <f t="shared" si="8"/>
        <v>01</v>
      </c>
      <c r="C26" s="149"/>
      <c r="D26" s="149"/>
      <c r="E26" s="149"/>
      <c r="F26" s="150"/>
      <c r="G26" s="151" t="s">
        <v>196</v>
      </c>
      <c r="H26" s="152"/>
      <c r="I26" s="152"/>
      <c r="J26" s="152"/>
      <c r="K26" s="152"/>
      <c r="L26" s="152"/>
      <c r="M26" s="152"/>
      <c r="N26" s="153"/>
      <c r="O26" s="79" t="s">
        <v>3152</v>
      </c>
      <c r="P26" s="165" t="s">
        <v>2029</v>
      </c>
      <c r="Q26" s="166"/>
      <c r="R26" s="166"/>
      <c r="S26" s="166"/>
      <c r="T26" s="166"/>
      <c r="U26" s="166"/>
      <c r="V26" s="166"/>
      <c r="W26" s="166"/>
      <c r="X26" s="166"/>
      <c r="Y26" s="166"/>
      <c r="Z26" s="166"/>
      <c r="AA26" s="166"/>
      <c r="AB26" s="166"/>
      <c r="AC26" s="166"/>
      <c r="AD26" s="167"/>
      <c r="AE26" s="161" t="str">
        <f t="shared" ca="1" si="13"/>
        <v>sny_202310_backup_mt_seibunryo</v>
      </c>
      <c r="AF26" s="162"/>
      <c r="AG26" s="162"/>
      <c r="AH26" s="162"/>
      <c r="AI26" s="162"/>
      <c r="AJ26" s="162"/>
      <c r="AK26" s="162"/>
      <c r="AL26" s="163"/>
      <c r="AM26" s="161" t="str">
        <f t="shared" ca="1" si="14"/>
        <v>成分量マスタ取込用テーブルから組入れ条件の第一条件で絞り込んだ結果を格納するテーブル</v>
      </c>
      <c r="AN26" s="162"/>
      <c r="AO26" s="162"/>
      <c r="AP26" s="162"/>
      <c r="AQ26" s="162"/>
      <c r="AR26" s="162"/>
      <c r="AS26" s="162"/>
      <c r="AT26" s="162"/>
      <c r="AU26" s="162"/>
      <c r="AV26" s="162"/>
      <c r="AW26" s="162"/>
      <c r="AX26" s="162"/>
      <c r="AY26" s="162"/>
      <c r="AZ26" s="162"/>
      <c r="BA26" s="162"/>
      <c r="BB26" s="162"/>
      <c r="BC26" s="162"/>
      <c r="BD26" s="162"/>
      <c r="BE26" s="162"/>
      <c r="BF26" s="162"/>
      <c r="BG26" s="162"/>
      <c r="BH26" s="162"/>
      <c r="BI26" s="162"/>
      <c r="BJ26" s="164"/>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48" t="str">
        <f t="shared" si="8"/>
        <v>01</v>
      </c>
      <c r="C27" s="149"/>
      <c r="D27" s="149"/>
      <c r="E27" s="149"/>
      <c r="F27" s="150"/>
      <c r="G27" s="151" t="s">
        <v>196</v>
      </c>
      <c r="H27" s="152"/>
      <c r="I27" s="152"/>
      <c r="J27" s="152"/>
      <c r="K27" s="152"/>
      <c r="L27" s="152"/>
      <c r="M27" s="152"/>
      <c r="N27" s="153"/>
      <c r="O27" s="79" t="s">
        <v>3153</v>
      </c>
      <c r="P27" s="165" t="s">
        <v>2054</v>
      </c>
      <c r="Q27" s="166"/>
      <c r="R27" s="166"/>
      <c r="S27" s="166"/>
      <c r="T27" s="166"/>
      <c r="U27" s="166"/>
      <c r="V27" s="166"/>
      <c r="W27" s="166"/>
      <c r="X27" s="166"/>
      <c r="Y27" s="166"/>
      <c r="Z27" s="166"/>
      <c r="AA27" s="166"/>
      <c r="AB27" s="166"/>
      <c r="AC27" s="166"/>
      <c r="AD27" s="167"/>
      <c r="AE27" s="161" t="str">
        <f t="shared" ca="1" si="13"/>
        <v>sny_202310_backup_mt_seibun_name</v>
      </c>
      <c r="AF27" s="162"/>
      <c r="AG27" s="162"/>
      <c r="AH27" s="162"/>
      <c r="AI27" s="162"/>
      <c r="AJ27" s="162"/>
      <c r="AK27" s="162"/>
      <c r="AL27" s="163"/>
      <c r="AM27" s="161" t="str">
        <f t="shared" ca="1" si="14"/>
        <v>成分名マスタ取込用テーブルから組入れ条件の第一条件で絞り込んだ結果を格納するテーブル</v>
      </c>
      <c r="AN27" s="162"/>
      <c r="AO27" s="162"/>
      <c r="AP27" s="162"/>
      <c r="AQ27" s="162"/>
      <c r="AR27" s="162"/>
      <c r="AS27" s="162"/>
      <c r="AT27" s="162"/>
      <c r="AU27" s="162"/>
      <c r="AV27" s="162"/>
      <c r="AW27" s="162"/>
      <c r="AX27" s="162"/>
      <c r="AY27" s="162"/>
      <c r="AZ27" s="162"/>
      <c r="BA27" s="162"/>
      <c r="BB27" s="162"/>
      <c r="BC27" s="162"/>
      <c r="BD27" s="162"/>
      <c r="BE27" s="162"/>
      <c r="BF27" s="162"/>
      <c r="BG27" s="162"/>
      <c r="BH27" s="162"/>
      <c r="BI27" s="162"/>
      <c r="BJ27" s="164"/>
      <c r="BK27" s="32" t="str">
        <f t="shared" si="16"/>
        <v>ENT_01_A3-09_バックアップ_成分名マスタ取込用.sql</v>
      </c>
    </row>
    <row r="28" spans="1:64" ht="37.5" hidden="1" customHeight="1" outlineLevel="1">
      <c r="A28" s="34" t="str">
        <f t="shared" si="12"/>
        <v>バックアップ_単位マスタ取込用</v>
      </c>
      <c r="B28" s="148" t="str">
        <f t="shared" si="8"/>
        <v>01</v>
      </c>
      <c r="C28" s="149"/>
      <c r="D28" s="149"/>
      <c r="E28" s="149"/>
      <c r="F28" s="150"/>
      <c r="G28" s="151" t="s">
        <v>196</v>
      </c>
      <c r="H28" s="152"/>
      <c r="I28" s="152"/>
      <c r="J28" s="152"/>
      <c r="K28" s="152"/>
      <c r="L28" s="152"/>
      <c r="M28" s="152"/>
      <c r="N28" s="153"/>
      <c r="O28" s="79" t="s">
        <v>3154</v>
      </c>
      <c r="P28" s="165" t="s">
        <v>2075</v>
      </c>
      <c r="Q28" s="166"/>
      <c r="R28" s="166"/>
      <c r="S28" s="166"/>
      <c r="T28" s="166"/>
      <c r="U28" s="166"/>
      <c r="V28" s="166"/>
      <c r="W28" s="166"/>
      <c r="X28" s="166"/>
      <c r="Y28" s="166"/>
      <c r="Z28" s="166"/>
      <c r="AA28" s="166"/>
      <c r="AB28" s="166"/>
      <c r="AC28" s="166"/>
      <c r="AD28" s="167"/>
      <c r="AE28" s="161" t="str">
        <f t="shared" ca="1" si="13"/>
        <v>sny_202310_backup_mt_unit</v>
      </c>
      <c r="AF28" s="162"/>
      <c r="AG28" s="162"/>
      <c r="AH28" s="162"/>
      <c r="AI28" s="162"/>
      <c r="AJ28" s="162"/>
      <c r="AK28" s="162"/>
      <c r="AL28" s="163"/>
      <c r="AM28" s="161" t="str">
        <f t="shared" ca="1" si="14"/>
        <v>単位マスタ取込用テーブルから組入れ条件の第一条件で絞り込んだ結果を格納するテーブル</v>
      </c>
      <c r="AN28" s="162"/>
      <c r="AO28" s="162"/>
      <c r="AP28" s="162"/>
      <c r="AQ28" s="162"/>
      <c r="AR28" s="162"/>
      <c r="AS28" s="162"/>
      <c r="AT28" s="162"/>
      <c r="AU28" s="162"/>
      <c r="AV28" s="162"/>
      <c r="AW28" s="162"/>
      <c r="AX28" s="162"/>
      <c r="AY28" s="162"/>
      <c r="AZ28" s="162"/>
      <c r="BA28" s="162"/>
      <c r="BB28" s="162"/>
      <c r="BC28" s="162"/>
      <c r="BD28" s="162"/>
      <c r="BE28" s="162"/>
      <c r="BF28" s="162"/>
      <c r="BG28" s="162"/>
      <c r="BH28" s="162"/>
      <c r="BI28" s="162"/>
      <c r="BJ28" s="164"/>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48" t="str">
        <f t="shared" si="8"/>
        <v>01</v>
      </c>
      <c r="C29" s="149"/>
      <c r="D29" s="149"/>
      <c r="E29" s="149"/>
      <c r="F29" s="150"/>
      <c r="G29" s="151" t="s">
        <v>196</v>
      </c>
      <c r="H29" s="152"/>
      <c r="I29" s="152"/>
      <c r="J29" s="152"/>
      <c r="K29" s="152"/>
      <c r="L29" s="152"/>
      <c r="M29" s="152"/>
      <c r="N29" s="153"/>
      <c r="O29" s="79" t="s">
        <v>3155</v>
      </c>
      <c r="P29" s="165" t="s">
        <v>2082</v>
      </c>
      <c r="Q29" s="166"/>
      <c r="R29" s="166"/>
      <c r="S29" s="166"/>
      <c r="T29" s="166"/>
      <c r="U29" s="166"/>
      <c r="V29" s="166"/>
      <c r="W29" s="166"/>
      <c r="X29" s="166"/>
      <c r="Y29" s="166"/>
      <c r="Z29" s="166"/>
      <c r="AA29" s="166"/>
      <c r="AB29" s="166"/>
      <c r="AC29" s="166"/>
      <c r="AD29" s="167"/>
      <c r="AE29" s="161" t="str">
        <f t="shared" ca="1" si="13"/>
        <v>sny_202310_backup_mt_tekiyou_recept_combi_link</v>
      </c>
      <c r="AF29" s="162"/>
      <c r="AG29" s="162"/>
      <c r="AH29" s="162"/>
      <c r="AI29" s="162"/>
      <c r="AJ29" s="162"/>
      <c r="AK29" s="162"/>
      <c r="AL29" s="163"/>
      <c r="AM29" s="161" t="str">
        <f t="shared" ca="1" si="14"/>
        <v>適応病名レセ病名組み合わせ関係リンクマスタ取込用テーブルから組入れ条件の第一条件で絞り込んだ結果を格納するテーブル</v>
      </c>
      <c r="AN29" s="162"/>
      <c r="AO29" s="162"/>
      <c r="AP29" s="162"/>
      <c r="AQ29" s="162"/>
      <c r="AR29" s="162"/>
      <c r="AS29" s="162"/>
      <c r="AT29" s="162"/>
      <c r="AU29" s="162"/>
      <c r="AV29" s="162"/>
      <c r="AW29" s="162"/>
      <c r="AX29" s="162"/>
      <c r="AY29" s="162"/>
      <c r="AZ29" s="162"/>
      <c r="BA29" s="162"/>
      <c r="BB29" s="162"/>
      <c r="BC29" s="162"/>
      <c r="BD29" s="162"/>
      <c r="BE29" s="162"/>
      <c r="BF29" s="162"/>
      <c r="BG29" s="162"/>
      <c r="BH29" s="162"/>
      <c r="BI29" s="162"/>
      <c r="BJ29" s="164"/>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48" t="str">
        <f t="shared" si="8"/>
        <v>01</v>
      </c>
      <c r="C30" s="149"/>
      <c r="D30" s="149"/>
      <c r="E30" s="149"/>
      <c r="F30" s="150"/>
      <c r="G30" s="151" t="s">
        <v>196</v>
      </c>
      <c r="H30" s="152"/>
      <c r="I30" s="152"/>
      <c r="J30" s="152"/>
      <c r="K30" s="152"/>
      <c r="L30" s="152"/>
      <c r="M30" s="152"/>
      <c r="N30" s="153"/>
      <c r="O30" s="79" t="s">
        <v>3156</v>
      </c>
      <c r="P30" s="165" t="s">
        <v>2101</v>
      </c>
      <c r="Q30" s="166"/>
      <c r="R30" s="166"/>
      <c r="S30" s="166"/>
      <c r="T30" s="166"/>
      <c r="U30" s="166"/>
      <c r="V30" s="166"/>
      <c r="W30" s="166"/>
      <c r="X30" s="166"/>
      <c r="Y30" s="166"/>
      <c r="Z30" s="166"/>
      <c r="AA30" s="166"/>
      <c r="AB30" s="166"/>
      <c r="AC30" s="166"/>
      <c r="AD30" s="167"/>
      <c r="AE30" s="161" t="s">
        <v>2546</v>
      </c>
      <c r="AF30" s="162"/>
      <c r="AG30" s="162"/>
      <c r="AH30" s="162"/>
      <c r="AI30" s="162"/>
      <c r="AJ30" s="162"/>
      <c r="AK30" s="162"/>
      <c r="AL30" s="163"/>
      <c r="AM30" s="161" t="s">
        <v>2547</v>
      </c>
      <c r="AN30" s="162"/>
      <c r="AO30" s="162"/>
      <c r="AP30" s="162"/>
      <c r="AQ30" s="162"/>
      <c r="AR30" s="162"/>
      <c r="AS30" s="162"/>
      <c r="AT30" s="162"/>
      <c r="AU30" s="162"/>
      <c r="AV30" s="162"/>
      <c r="AW30" s="162"/>
      <c r="AX30" s="162"/>
      <c r="AY30" s="162"/>
      <c r="AZ30" s="162"/>
      <c r="BA30" s="162"/>
      <c r="BB30" s="162"/>
      <c r="BC30" s="162"/>
      <c r="BD30" s="162"/>
      <c r="BE30" s="162"/>
      <c r="BF30" s="162"/>
      <c r="BG30" s="162"/>
      <c r="BH30" s="162"/>
      <c r="BI30" s="162"/>
      <c r="BJ30" s="164"/>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48" t="str">
        <f t="shared" si="8"/>
        <v>01</v>
      </c>
      <c r="C31" s="149"/>
      <c r="D31" s="149"/>
      <c r="E31" s="149"/>
      <c r="F31" s="150"/>
      <c r="G31" s="151" t="s">
        <v>196</v>
      </c>
      <c r="H31" s="152"/>
      <c r="I31" s="152"/>
      <c r="J31" s="152"/>
      <c r="K31" s="152"/>
      <c r="L31" s="152"/>
      <c r="M31" s="152"/>
      <c r="N31" s="153"/>
      <c r="O31" s="79" t="s">
        <v>3157</v>
      </c>
      <c r="P31" s="165" t="s">
        <v>2102</v>
      </c>
      <c r="Q31" s="166"/>
      <c r="R31" s="166"/>
      <c r="S31" s="166"/>
      <c r="T31" s="166"/>
      <c r="U31" s="166"/>
      <c r="V31" s="166"/>
      <c r="W31" s="166"/>
      <c r="X31" s="166"/>
      <c r="Y31" s="166"/>
      <c r="Z31" s="166"/>
      <c r="AA31" s="166"/>
      <c r="AB31" s="166"/>
      <c r="AC31" s="166"/>
      <c r="AD31" s="167"/>
      <c r="AE31" s="161" t="str">
        <f t="shared" ca="1" si="13"/>
        <v>sny_202310_backup_mt_tekiyou_byoumei</v>
      </c>
      <c r="AF31" s="162"/>
      <c r="AG31" s="162"/>
      <c r="AH31" s="162"/>
      <c r="AI31" s="162"/>
      <c r="AJ31" s="162"/>
      <c r="AK31" s="162"/>
      <c r="AL31" s="163"/>
      <c r="AM31" s="161" t="str">
        <f t="shared" ca="1" si="14"/>
        <v>適用病名マスタ取込用テーブルから組入れ条件の第一条件で絞り込んだ結果を格納するテーブル</v>
      </c>
      <c r="AN31" s="162"/>
      <c r="AO31" s="162"/>
      <c r="AP31" s="162"/>
      <c r="AQ31" s="162"/>
      <c r="AR31" s="162"/>
      <c r="AS31" s="162"/>
      <c r="AT31" s="162"/>
      <c r="AU31" s="162"/>
      <c r="AV31" s="162"/>
      <c r="AW31" s="162"/>
      <c r="AX31" s="162"/>
      <c r="AY31" s="162"/>
      <c r="AZ31" s="162"/>
      <c r="BA31" s="162"/>
      <c r="BB31" s="162"/>
      <c r="BC31" s="162"/>
      <c r="BD31" s="162"/>
      <c r="BE31" s="162"/>
      <c r="BF31" s="162"/>
      <c r="BG31" s="162"/>
      <c r="BH31" s="162"/>
      <c r="BI31" s="162"/>
      <c r="BJ31" s="164"/>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48" t="str">
        <f t="shared" si="8"/>
        <v>01</v>
      </c>
      <c r="C32" s="149"/>
      <c r="D32" s="149"/>
      <c r="E32" s="149"/>
      <c r="F32" s="150"/>
      <c r="G32" s="151" t="s">
        <v>196</v>
      </c>
      <c r="H32" s="152"/>
      <c r="I32" s="152"/>
      <c r="J32" s="152"/>
      <c r="K32" s="152"/>
      <c r="L32" s="152"/>
      <c r="M32" s="152"/>
      <c r="N32" s="153"/>
      <c r="O32" s="79" t="s">
        <v>3158</v>
      </c>
      <c r="P32" s="165" t="s">
        <v>2111</v>
      </c>
      <c r="Q32" s="166"/>
      <c r="R32" s="166"/>
      <c r="S32" s="166"/>
      <c r="T32" s="166"/>
      <c r="U32" s="166"/>
      <c r="V32" s="166"/>
      <c r="W32" s="166"/>
      <c r="X32" s="166"/>
      <c r="Y32" s="166"/>
      <c r="Z32" s="166"/>
      <c r="AA32" s="166"/>
      <c r="AB32" s="166"/>
      <c r="AC32" s="166"/>
      <c r="AD32" s="167"/>
      <c r="AE32" s="161" t="str">
        <f t="shared" ca="1" si="13"/>
        <v>sny_202310_backup_mt_yjcode_receptdensancode_link</v>
      </c>
      <c r="AF32" s="162"/>
      <c r="AG32" s="162"/>
      <c r="AH32" s="162"/>
      <c r="AI32" s="162"/>
      <c r="AJ32" s="162"/>
      <c r="AK32" s="162"/>
      <c r="AL32" s="163"/>
      <c r="AM32" s="161" t="str">
        <f t="shared" ca="1" si="14"/>
        <v>ＹＪコード医薬品コードリンクマスタ取込用テーブルから組入れ条件の第一条件で絞り込んだ結果を格納するテーブル</v>
      </c>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4"/>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48" t="str">
        <f t="shared" si="8"/>
        <v>01</v>
      </c>
      <c r="C33" s="149"/>
      <c r="D33" s="149"/>
      <c r="E33" s="149"/>
      <c r="F33" s="150"/>
      <c r="G33" s="151" t="s">
        <v>196</v>
      </c>
      <c r="H33" s="152"/>
      <c r="I33" s="152"/>
      <c r="J33" s="152"/>
      <c r="K33" s="152"/>
      <c r="L33" s="152"/>
      <c r="M33" s="152"/>
      <c r="N33" s="153"/>
      <c r="O33" s="79" t="s">
        <v>3159</v>
      </c>
      <c r="P33" s="165" t="s">
        <v>2121</v>
      </c>
      <c r="Q33" s="166"/>
      <c r="R33" s="166"/>
      <c r="S33" s="166"/>
      <c r="T33" s="166"/>
      <c r="U33" s="166"/>
      <c r="V33" s="166"/>
      <c r="W33" s="166"/>
      <c r="X33" s="166"/>
      <c r="Y33" s="166"/>
      <c r="Z33" s="166"/>
      <c r="AA33" s="166"/>
      <c r="AB33" s="166"/>
      <c r="AC33" s="166"/>
      <c r="AD33" s="167"/>
      <c r="AE33" s="161" t="str">
        <f t="shared" ca="1" si="13"/>
        <v>sny_202310_backup_mt_shinryo_koi_fuka</v>
      </c>
      <c r="AF33" s="162"/>
      <c r="AG33" s="162"/>
      <c r="AH33" s="162"/>
      <c r="AI33" s="162"/>
      <c r="AJ33" s="162"/>
      <c r="AK33" s="162"/>
      <c r="AL33" s="163"/>
      <c r="AM33" s="161" t="str">
        <f t="shared" ca="1" si="14"/>
        <v>診療行為付加情報マスタ取込用テーブルから組入れ条件の第一条件で絞り込んだ結果を格納するテーブル</v>
      </c>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4"/>
      <c r="BK33" s="32" t="str">
        <f t="shared" si="16"/>
        <v>ENT_01_A3-15_バックアップ_診療行為付加情報マスタ取込用.sql</v>
      </c>
    </row>
    <row r="34" spans="1:63" ht="37.5" hidden="1" customHeight="1" outlineLevel="1">
      <c r="A34" s="34" t="str">
        <f t="shared" si="12"/>
        <v>バックアップ_処理対象施設マスタ</v>
      </c>
      <c r="B34" s="148" t="str">
        <f t="shared" si="8"/>
        <v>01</v>
      </c>
      <c r="C34" s="149"/>
      <c r="D34" s="149"/>
      <c r="E34" s="149"/>
      <c r="F34" s="150"/>
      <c r="G34" s="151" t="s">
        <v>196</v>
      </c>
      <c r="H34" s="152"/>
      <c r="I34" s="152"/>
      <c r="J34" s="152"/>
      <c r="K34" s="152"/>
      <c r="L34" s="152"/>
      <c r="M34" s="152"/>
      <c r="N34" s="153"/>
      <c r="O34" s="79" t="s">
        <v>3160</v>
      </c>
      <c r="P34" s="165" t="s">
        <v>2402</v>
      </c>
      <c r="Q34" s="166"/>
      <c r="R34" s="166"/>
      <c r="S34" s="166"/>
      <c r="T34" s="166"/>
      <c r="U34" s="166"/>
      <c r="V34" s="166"/>
      <c r="W34" s="166"/>
      <c r="X34" s="166"/>
      <c r="Y34" s="166"/>
      <c r="Z34" s="166"/>
      <c r="AA34" s="166"/>
      <c r="AB34" s="166"/>
      <c r="AC34" s="166"/>
      <c r="AD34" s="167"/>
      <c r="AE34" s="161" t="str">
        <f t="shared" ca="1" si="13"/>
        <v>sny_202310_backup_mt_shori_shisetsu</v>
      </c>
      <c r="AF34" s="162"/>
      <c r="AG34" s="162"/>
      <c r="AH34" s="162"/>
      <c r="AI34" s="162"/>
      <c r="AJ34" s="162"/>
      <c r="AK34" s="162"/>
      <c r="AL34" s="163"/>
      <c r="AM34" s="161" t="str">
        <f t="shared" ca="1" si="14"/>
        <v>処理対象施設マスタテーブルから組入れ条件の第一条件で絞り込んだ結果を格納するテーブル</v>
      </c>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4"/>
      <c r="BK34" s="32" t="str">
        <f t="shared" si="16"/>
        <v>ENT_01_A3-16_バックアップ_処理対象施設マスタ.sql</v>
      </c>
    </row>
    <row r="35" spans="1:63" ht="37.5" hidden="1" customHeight="1" outlineLevel="1">
      <c r="A35" s="34" t="str">
        <f t="shared" si="12"/>
        <v>バックアップ_処理対象施設マスタ管理</v>
      </c>
      <c r="B35" s="148" t="str">
        <f t="shared" si="8"/>
        <v>01</v>
      </c>
      <c r="C35" s="149"/>
      <c r="D35" s="149"/>
      <c r="E35" s="149"/>
      <c r="F35" s="150"/>
      <c r="G35" s="151" t="s">
        <v>196</v>
      </c>
      <c r="H35" s="152"/>
      <c r="I35" s="152"/>
      <c r="J35" s="152"/>
      <c r="K35" s="152"/>
      <c r="L35" s="152"/>
      <c r="M35" s="152"/>
      <c r="N35" s="153"/>
      <c r="O35" s="79" t="s">
        <v>3219</v>
      </c>
      <c r="P35" s="165" t="s">
        <v>2431</v>
      </c>
      <c r="Q35" s="166"/>
      <c r="R35" s="166"/>
      <c r="S35" s="166"/>
      <c r="T35" s="166"/>
      <c r="U35" s="166"/>
      <c r="V35" s="166"/>
      <c r="W35" s="166"/>
      <c r="X35" s="166"/>
      <c r="Y35" s="166"/>
      <c r="Z35" s="166"/>
      <c r="AA35" s="166"/>
      <c r="AB35" s="166"/>
      <c r="AC35" s="166"/>
      <c r="AD35" s="167"/>
      <c r="AE35" s="161" t="str">
        <f t="shared" ca="1" si="13"/>
        <v>sny_202310_backup_mt_shori_shisetsu_manage</v>
      </c>
      <c r="AF35" s="162"/>
      <c r="AG35" s="162"/>
      <c r="AH35" s="162"/>
      <c r="AI35" s="162"/>
      <c r="AJ35" s="162"/>
      <c r="AK35" s="162"/>
      <c r="AL35" s="163"/>
      <c r="AM35" s="161" t="str">
        <f t="shared" ca="1" si="14"/>
        <v>処理対象施設マスタ管理テーブルから組入れ条件の第一条件で絞り込んだ結果を格納するテーブル</v>
      </c>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4"/>
      <c r="BK35" s="32" t="str">
        <f t="shared" si="16"/>
        <v>ENT_01_A3-17_バックアップ_処理対象施設マスタ管理.sql</v>
      </c>
    </row>
    <row r="36" spans="1:63" ht="37.5" hidden="1" customHeight="1" outlineLevel="1">
      <c r="A36" s="34" t="str">
        <f t="shared" ref="A36:A51" si="17">P36</f>
        <v>バックアップ_医薬品マスタ</v>
      </c>
      <c r="B36" s="148" t="str">
        <f t="shared" si="8"/>
        <v>01</v>
      </c>
      <c r="C36" s="149"/>
      <c r="D36" s="149"/>
      <c r="E36" s="149"/>
      <c r="F36" s="150"/>
      <c r="G36" s="151" t="s">
        <v>196</v>
      </c>
      <c r="H36" s="152"/>
      <c r="I36" s="152"/>
      <c r="J36" s="152"/>
      <c r="K36" s="152"/>
      <c r="L36" s="152"/>
      <c r="M36" s="152"/>
      <c r="N36" s="153"/>
      <c r="O36" s="79" t="s">
        <v>3220</v>
      </c>
      <c r="P36" s="165" t="s">
        <v>3240</v>
      </c>
      <c r="Q36" s="166"/>
      <c r="R36" s="166"/>
      <c r="S36" s="166"/>
      <c r="T36" s="166"/>
      <c r="U36" s="166"/>
      <c r="V36" s="166"/>
      <c r="W36" s="166"/>
      <c r="X36" s="166"/>
      <c r="Y36" s="166"/>
      <c r="Z36" s="166"/>
      <c r="AA36" s="166"/>
      <c r="AB36" s="166"/>
      <c r="AC36" s="166"/>
      <c r="AD36" s="167"/>
      <c r="AE36" s="161" t="str">
        <f t="shared" ref="AE36:AE45" ca="1" si="18">IFERROR(INDIRECT(P36&amp;"!D8"),"")</f>
        <v>sny_202310_backup_mt_iyakuhin</v>
      </c>
      <c r="AF36" s="162"/>
      <c r="AG36" s="162"/>
      <c r="AH36" s="162"/>
      <c r="AI36" s="162"/>
      <c r="AJ36" s="162"/>
      <c r="AK36" s="162"/>
      <c r="AL36" s="163"/>
      <c r="AM36" s="161" t="str">
        <f t="shared" ref="AM36:AM45" ca="1" si="19">IFERROR(INDIRECT(P36&amp;"!D9"),"")</f>
        <v>医薬品マスタテーブルから組入れ条件の第一条件で絞り込んだ結果を格納するテーブル</v>
      </c>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4"/>
      <c r="BK36" s="32" t="str">
        <f t="shared" si="16"/>
        <v>ENT_01_A3-18_バックアップ_医薬品マスタ.sql</v>
      </c>
    </row>
    <row r="37" spans="1:63" ht="37.5" hidden="1" customHeight="1" outlineLevel="1">
      <c r="A37" s="34" t="str">
        <f t="shared" si="17"/>
        <v>バックアップ_医薬品ブランドマスタ</v>
      </c>
      <c r="B37" s="148" t="str">
        <f t="shared" si="8"/>
        <v>01</v>
      </c>
      <c r="C37" s="149"/>
      <c r="D37" s="149"/>
      <c r="E37" s="149"/>
      <c r="F37" s="150"/>
      <c r="G37" s="151" t="s">
        <v>196</v>
      </c>
      <c r="H37" s="152"/>
      <c r="I37" s="152"/>
      <c r="J37" s="152"/>
      <c r="K37" s="152"/>
      <c r="L37" s="152"/>
      <c r="M37" s="152"/>
      <c r="N37" s="153"/>
      <c r="O37" s="79" t="s">
        <v>3221</v>
      </c>
      <c r="P37" s="165" t="s">
        <v>3241</v>
      </c>
      <c r="Q37" s="166"/>
      <c r="R37" s="166"/>
      <c r="S37" s="166"/>
      <c r="T37" s="166"/>
      <c r="U37" s="166"/>
      <c r="V37" s="166"/>
      <c r="W37" s="166"/>
      <c r="X37" s="166"/>
      <c r="Y37" s="166"/>
      <c r="Z37" s="166"/>
      <c r="AA37" s="166"/>
      <c r="AB37" s="166"/>
      <c r="AC37" s="166"/>
      <c r="AD37" s="167"/>
      <c r="AE37" s="161" t="str">
        <f t="shared" ca="1" si="18"/>
        <v>sny_202310_backup_mt_iyakuhin_brand</v>
      </c>
      <c r="AF37" s="162"/>
      <c r="AG37" s="162"/>
      <c r="AH37" s="162"/>
      <c r="AI37" s="162"/>
      <c r="AJ37" s="162"/>
      <c r="AK37" s="162"/>
      <c r="AL37" s="163"/>
      <c r="AM37" s="161" t="str">
        <f t="shared" ca="1" si="19"/>
        <v>医薬品ブランドマスタテーブルから組入れ条件の第一条件で絞り込んだ結果を格納するテーブル</v>
      </c>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4"/>
      <c r="BK37" s="32" t="str">
        <f t="shared" si="16"/>
        <v>ENT_01_A3-19_バックアップ_医薬品ブランドマスタ.sql</v>
      </c>
    </row>
    <row r="38" spans="1:63" ht="37.5" hidden="1" customHeight="1" outlineLevel="1">
      <c r="A38" s="34" t="str">
        <f t="shared" si="17"/>
        <v>バックアップ_医薬品一般名マスタ</v>
      </c>
      <c r="B38" s="148" t="str">
        <f t="shared" ref="B38:B106" si="20">TEXT(1,"00")</f>
        <v>01</v>
      </c>
      <c r="C38" s="149"/>
      <c r="D38" s="149"/>
      <c r="E38" s="149"/>
      <c r="F38" s="150"/>
      <c r="G38" s="151" t="s">
        <v>196</v>
      </c>
      <c r="H38" s="152"/>
      <c r="I38" s="152"/>
      <c r="J38" s="152"/>
      <c r="K38" s="152"/>
      <c r="L38" s="152"/>
      <c r="M38" s="152"/>
      <c r="N38" s="153"/>
      <c r="O38" s="79" t="s">
        <v>3222</v>
      </c>
      <c r="P38" s="165" t="s">
        <v>3242</v>
      </c>
      <c r="Q38" s="166"/>
      <c r="R38" s="166"/>
      <c r="S38" s="166"/>
      <c r="T38" s="166"/>
      <c r="U38" s="166"/>
      <c r="V38" s="166"/>
      <c r="W38" s="166"/>
      <c r="X38" s="166"/>
      <c r="Y38" s="166"/>
      <c r="Z38" s="166"/>
      <c r="AA38" s="166"/>
      <c r="AB38" s="166"/>
      <c r="AC38" s="166"/>
      <c r="AD38" s="167"/>
      <c r="AE38" s="161" t="str">
        <f t="shared" ca="1" si="18"/>
        <v>sny_202310_backup_mt_iyakuhin_ippan_name</v>
      </c>
      <c r="AF38" s="162"/>
      <c r="AG38" s="162"/>
      <c r="AH38" s="162"/>
      <c r="AI38" s="162"/>
      <c r="AJ38" s="162"/>
      <c r="AK38" s="162"/>
      <c r="AL38" s="163"/>
      <c r="AM38" s="161" t="str">
        <f t="shared" ca="1" si="19"/>
        <v>医薬品一般名マスタテーブルから組入れ条件の第一条件で絞り込んだ結果を格納するテーブル</v>
      </c>
      <c r="AN38" s="162"/>
      <c r="AO38" s="162"/>
      <c r="AP38" s="162"/>
      <c r="AQ38" s="162"/>
      <c r="AR38" s="162"/>
      <c r="AS38" s="162"/>
      <c r="AT38" s="162"/>
      <c r="AU38" s="162"/>
      <c r="AV38" s="162"/>
      <c r="AW38" s="162"/>
      <c r="AX38" s="162"/>
      <c r="AY38" s="162"/>
      <c r="AZ38" s="162"/>
      <c r="BA38" s="162"/>
      <c r="BB38" s="162"/>
      <c r="BC38" s="162"/>
      <c r="BD38" s="162"/>
      <c r="BE38" s="162"/>
      <c r="BF38" s="162"/>
      <c r="BG38" s="162"/>
      <c r="BH38" s="162"/>
      <c r="BI38" s="162"/>
      <c r="BJ38" s="164"/>
      <c r="BK38" s="32" t="str">
        <f t="shared" si="16"/>
        <v>ENT_01_A3-20_バックアップ_医薬品一般名マスタ.sql</v>
      </c>
    </row>
    <row r="39" spans="1:63" ht="37.5" hidden="1" customHeight="1" outlineLevel="1">
      <c r="A39" s="34" t="str">
        <f t="shared" si="17"/>
        <v>バックアップ_医薬品販売会社マスタ</v>
      </c>
      <c r="B39" s="148" t="str">
        <f t="shared" si="20"/>
        <v>01</v>
      </c>
      <c r="C39" s="149"/>
      <c r="D39" s="149"/>
      <c r="E39" s="149"/>
      <c r="F39" s="150"/>
      <c r="G39" s="151" t="s">
        <v>196</v>
      </c>
      <c r="H39" s="152"/>
      <c r="I39" s="152"/>
      <c r="J39" s="152"/>
      <c r="K39" s="152"/>
      <c r="L39" s="152"/>
      <c r="M39" s="152"/>
      <c r="N39" s="153"/>
      <c r="O39" s="79" t="s">
        <v>3223</v>
      </c>
      <c r="P39" s="165" t="s">
        <v>3243</v>
      </c>
      <c r="Q39" s="166"/>
      <c r="R39" s="166"/>
      <c r="S39" s="166"/>
      <c r="T39" s="166"/>
      <c r="U39" s="166"/>
      <c r="V39" s="166"/>
      <c r="W39" s="166"/>
      <c r="X39" s="166"/>
      <c r="Y39" s="166"/>
      <c r="Z39" s="166"/>
      <c r="AA39" s="166"/>
      <c r="AB39" s="166"/>
      <c r="AC39" s="166"/>
      <c r="AD39" s="167"/>
      <c r="AE39" s="161" t="str">
        <f t="shared" ca="1" si="18"/>
        <v>sny_202310_backup_mt_iyakuhin_sales_kaisha</v>
      </c>
      <c r="AF39" s="162"/>
      <c r="AG39" s="162"/>
      <c r="AH39" s="162"/>
      <c r="AI39" s="162"/>
      <c r="AJ39" s="162"/>
      <c r="AK39" s="162"/>
      <c r="AL39" s="163"/>
      <c r="AM39" s="161" t="str">
        <f t="shared" ca="1" si="19"/>
        <v>医薬品販売会社マスタテーブルから組入れ条件の第一条件で絞り込んだ結果を格納するテーブル</v>
      </c>
      <c r="AN39" s="162"/>
      <c r="AO39" s="162"/>
      <c r="AP39" s="162"/>
      <c r="AQ39" s="162"/>
      <c r="AR39" s="162"/>
      <c r="AS39" s="162"/>
      <c r="AT39" s="162"/>
      <c r="AU39" s="162"/>
      <c r="AV39" s="162"/>
      <c r="AW39" s="162"/>
      <c r="AX39" s="162"/>
      <c r="AY39" s="162"/>
      <c r="AZ39" s="162"/>
      <c r="BA39" s="162"/>
      <c r="BB39" s="162"/>
      <c r="BC39" s="162"/>
      <c r="BD39" s="162"/>
      <c r="BE39" s="162"/>
      <c r="BF39" s="162"/>
      <c r="BG39" s="162"/>
      <c r="BH39" s="162"/>
      <c r="BI39" s="162"/>
      <c r="BJ39" s="164"/>
      <c r="BK39" s="32" t="str">
        <f t="shared" si="16"/>
        <v>ENT_01_A3-21_バックアップ_医薬品販売会社マスタ.sql</v>
      </c>
    </row>
    <row r="40" spans="1:63" ht="37.5" hidden="1" customHeight="1" outlineLevel="1">
      <c r="A40" s="34" t="str">
        <f t="shared" si="17"/>
        <v>バックアップ_メーカマスタ</v>
      </c>
      <c r="B40" s="148" t="str">
        <f t="shared" si="20"/>
        <v>01</v>
      </c>
      <c r="C40" s="149"/>
      <c r="D40" s="149"/>
      <c r="E40" s="149"/>
      <c r="F40" s="150"/>
      <c r="G40" s="151" t="s">
        <v>196</v>
      </c>
      <c r="H40" s="152"/>
      <c r="I40" s="152"/>
      <c r="J40" s="152"/>
      <c r="K40" s="152"/>
      <c r="L40" s="152"/>
      <c r="M40" s="152"/>
      <c r="N40" s="153"/>
      <c r="O40" s="79" t="s">
        <v>3224</v>
      </c>
      <c r="P40" s="165" t="s">
        <v>3244</v>
      </c>
      <c r="Q40" s="166"/>
      <c r="R40" s="166"/>
      <c r="S40" s="166"/>
      <c r="T40" s="166"/>
      <c r="U40" s="166"/>
      <c r="V40" s="166"/>
      <c r="W40" s="166"/>
      <c r="X40" s="166"/>
      <c r="Y40" s="166"/>
      <c r="Z40" s="166"/>
      <c r="AA40" s="166"/>
      <c r="AB40" s="166"/>
      <c r="AC40" s="166"/>
      <c r="AD40" s="167"/>
      <c r="AE40" s="161" t="str">
        <f t="shared" ca="1" si="18"/>
        <v>sny_202310_backup_mt_maker</v>
      </c>
      <c r="AF40" s="162"/>
      <c r="AG40" s="162"/>
      <c r="AH40" s="162"/>
      <c r="AI40" s="162"/>
      <c r="AJ40" s="162"/>
      <c r="AK40" s="162"/>
      <c r="AL40" s="163"/>
      <c r="AM40" s="161" t="str">
        <f t="shared" ca="1" si="19"/>
        <v>メーカマスタテーブルから組入れ条件の第一条件で絞り込んだ結果を格納するテーブル</v>
      </c>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4"/>
      <c r="BK40" s="32" t="str">
        <f t="shared" si="16"/>
        <v>ENT_01_A3-22_バックアップ_メーカマスタ.sql</v>
      </c>
    </row>
    <row r="41" spans="1:63" ht="37.5" hidden="1" customHeight="1" outlineLevel="1">
      <c r="A41" s="34" t="str">
        <f t="shared" si="17"/>
        <v>バックアップ_薬価マスタ</v>
      </c>
      <c r="B41" s="148" t="str">
        <f t="shared" si="20"/>
        <v>01</v>
      </c>
      <c r="C41" s="149"/>
      <c r="D41" s="149"/>
      <c r="E41" s="149"/>
      <c r="F41" s="150"/>
      <c r="G41" s="151" t="s">
        <v>196</v>
      </c>
      <c r="H41" s="152"/>
      <c r="I41" s="152"/>
      <c r="J41" s="152"/>
      <c r="K41" s="152"/>
      <c r="L41" s="152"/>
      <c r="M41" s="152"/>
      <c r="N41" s="153"/>
      <c r="O41" s="79" t="s">
        <v>3225</v>
      </c>
      <c r="P41" s="165" t="s">
        <v>3245</v>
      </c>
      <c r="Q41" s="166"/>
      <c r="R41" s="166"/>
      <c r="S41" s="166"/>
      <c r="T41" s="166"/>
      <c r="U41" s="166"/>
      <c r="V41" s="166"/>
      <c r="W41" s="166"/>
      <c r="X41" s="166"/>
      <c r="Y41" s="166"/>
      <c r="Z41" s="166"/>
      <c r="AA41" s="166"/>
      <c r="AB41" s="166"/>
      <c r="AC41" s="166"/>
      <c r="AD41" s="167"/>
      <c r="AE41" s="161" t="str">
        <f t="shared" ca="1" si="18"/>
        <v>sny_202310_backup_mt_price</v>
      </c>
      <c r="AF41" s="162"/>
      <c r="AG41" s="162"/>
      <c r="AH41" s="162"/>
      <c r="AI41" s="162"/>
      <c r="AJ41" s="162"/>
      <c r="AK41" s="162"/>
      <c r="AL41" s="163"/>
      <c r="AM41" s="161" t="str">
        <f t="shared" ca="1" si="19"/>
        <v>薬価マスタテーブルから組入れ条件の第一条件で絞り込んだ結果を格納するテーブル</v>
      </c>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4"/>
      <c r="BK41" s="32" t="str">
        <f t="shared" si="16"/>
        <v>ENT_01_A3-23_バックアップ_薬価マスタ.sql</v>
      </c>
    </row>
    <row r="42" spans="1:63" ht="37.5" hidden="1" customHeight="1" outlineLevel="1">
      <c r="A42" s="34" t="str">
        <f t="shared" si="17"/>
        <v>バックアップ_薬効ATC分類1マスタ</v>
      </c>
      <c r="B42" s="148" t="str">
        <f t="shared" si="20"/>
        <v>01</v>
      </c>
      <c r="C42" s="149"/>
      <c r="D42" s="149"/>
      <c r="E42" s="149"/>
      <c r="F42" s="150"/>
      <c r="G42" s="151" t="s">
        <v>196</v>
      </c>
      <c r="H42" s="152"/>
      <c r="I42" s="152"/>
      <c r="J42" s="152"/>
      <c r="K42" s="152"/>
      <c r="L42" s="152"/>
      <c r="M42" s="152"/>
      <c r="N42" s="153"/>
      <c r="O42" s="79" t="s">
        <v>3226</v>
      </c>
      <c r="P42" s="165" t="s">
        <v>3246</v>
      </c>
      <c r="Q42" s="166"/>
      <c r="R42" s="166"/>
      <c r="S42" s="166"/>
      <c r="T42" s="166"/>
      <c r="U42" s="166"/>
      <c r="V42" s="166"/>
      <c r="W42" s="166"/>
      <c r="X42" s="166"/>
      <c r="Y42" s="166"/>
      <c r="Z42" s="166"/>
      <c r="AA42" s="166"/>
      <c r="AB42" s="166"/>
      <c r="AC42" s="166"/>
      <c r="AD42" s="167"/>
      <c r="AE42" s="161" t="str">
        <f t="shared" ca="1" si="18"/>
        <v>sny_202310_backup_mt_yakko_atc1</v>
      </c>
      <c r="AF42" s="162"/>
      <c r="AG42" s="162"/>
      <c r="AH42" s="162"/>
      <c r="AI42" s="162"/>
      <c r="AJ42" s="162"/>
      <c r="AK42" s="162"/>
      <c r="AL42" s="163"/>
      <c r="AM42" s="161" t="str">
        <f t="shared" ca="1" si="19"/>
        <v>薬効ATC分類1マスタテーブルから組入れ条件の第一条件で絞り込んだ結果を格納するテーブル</v>
      </c>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4"/>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48" t="str">
        <f t="shared" si="20"/>
        <v>01</v>
      </c>
      <c r="C43" s="149"/>
      <c r="D43" s="149"/>
      <c r="E43" s="149"/>
      <c r="F43" s="150"/>
      <c r="G43" s="151" t="s">
        <v>196</v>
      </c>
      <c r="H43" s="152"/>
      <c r="I43" s="152"/>
      <c r="J43" s="152"/>
      <c r="K43" s="152"/>
      <c r="L43" s="152"/>
      <c r="M43" s="152"/>
      <c r="N43" s="153"/>
      <c r="O43" s="79" t="s">
        <v>3227</v>
      </c>
      <c r="P43" s="165" t="s">
        <v>3247</v>
      </c>
      <c r="Q43" s="166"/>
      <c r="R43" s="166"/>
      <c r="S43" s="166"/>
      <c r="T43" s="166"/>
      <c r="U43" s="166"/>
      <c r="V43" s="166"/>
      <c r="W43" s="166"/>
      <c r="X43" s="166"/>
      <c r="Y43" s="166"/>
      <c r="Z43" s="166"/>
      <c r="AA43" s="166"/>
      <c r="AB43" s="166"/>
      <c r="AC43" s="166"/>
      <c r="AD43" s="167"/>
      <c r="AE43" s="161" t="str">
        <f t="shared" ca="1" si="18"/>
        <v>sny_202310_backup_mt_yakko_atc2</v>
      </c>
      <c r="AF43" s="162"/>
      <c r="AG43" s="162"/>
      <c r="AH43" s="162"/>
      <c r="AI43" s="162"/>
      <c r="AJ43" s="162"/>
      <c r="AK43" s="162"/>
      <c r="AL43" s="163"/>
      <c r="AM43" s="161" t="str">
        <f t="shared" ca="1" si="19"/>
        <v>薬効ATC分類2マスタテーブルから組入れ条件の第一条件で絞り込んだ結果を格納するテーブル</v>
      </c>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4"/>
      <c r="BK43" s="32" t="str">
        <f t="shared" si="21"/>
        <v>ENT_01_A3-25_バックアップ_薬効ATC分類2マスタ.sql</v>
      </c>
    </row>
    <row r="44" spans="1:63" ht="37.5" hidden="1" customHeight="1" outlineLevel="1">
      <c r="A44" s="34" t="str">
        <f t="shared" si="17"/>
        <v>バックアップ_薬効ATC分類3マスタ</v>
      </c>
      <c r="B44" s="148" t="str">
        <f t="shared" si="20"/>
        <v>01</v>
      </c>
      <c r="C44" s="149"/>
      <c r="D44" s="149"/>
      <c r="E44" s="149"/>
      <c r="F44" s="150"/>
      <c r="G44" s="151" t="s">
        <v>196</v>
      </c>
      <c r="H44" s="152"/>
      <c r="I44" s="152"/>
      <c r="J44" s="152"/>
      <c r="K44" s="152"/>
      <c r="L44" s="152"/>
      <c r="M44" s="152"/>
      <c r="N44" s="153"/>
      <c r="O44" s="79" t="s">
        <v>3228</v>
      </c>
      <c r="P44" s="165" t="s">
        <v>3248</v>
      </c>
      <c r="Q44" s="166"/>
      <c r="R44" s="166"/>
      <c r="S44" s="166"/>
      <c r="T44" s="166"/>
      <c r="U44" s="166"/>
      <c r="V44" s="166"/>
      <c r="W44" s="166"/>
      <c r="X44" s="166"/>
      <c r="Y44" s="166"/>
      <c r="Z44" s="166"/>
      <c r="AA44" s="166"/>
      <c r="AB44" s="166"/>
      <c r="AC44" s="166"/>
      <c r="AD44" s="167"/>
      <c r="AE44" s="161" t="str">
        <f t="shared" ca="1" si="18"/>
        <v>sny_202310_backup_mt_yakko_atc3</v>
      </c>
      <c r="AF44" s="162"/>
      <c r="AG44" s="162"/>
      <c r="AH44" s="162"/>
      <c r="AI44" s="162"/>
      <c r="AJ44" s="162"/>
      <c r="AK44" s="162"/>
      <c r="AL44" s="163"/>
      <c r="AM44" s="161" t="str">
        <f t="shared" ca="1" si="19"/>
        <v>薬効ATC分類3マスタテーブルから組入れ条件の第一条件で絞り込んだ結果を格納するテーブル</v>
      </c>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4"/>
      <c r="BK44" s="32" t="str">
        <f t="shared" si="21"/>
        <v>ENT_01_A3-26_バックアップ_薬効ATC分類3マスタ.sql</v>
      </c>
    </row>
    <row r="45" spans="1:63" ht="37.5" hidden="1" customHeight="1" outlineLevel="1">
      <c r="A45" s="34" t="str">
        <f t="shared" si="17"/>
        <v>バックアップ_薬効ATC分類4マスタ</v>
      </c>
      <c r="B45" s="148" t="str">
        <f t="shared" si="20"/>
        <v>01</v>
      </c>
      <c r="C45" s="149"/>
      <c r="D45" s="149"/>
      <c r="E45" s="149"/>
      <c r="F45" s="150"/>
      <c r="G45" s="151" t="s">
        <v>196</v>
      </c>
      <c r="H45" s="152"/>
      <c r="I45" s="152"/>
      <c r="J45" s="152"/>
      <c r="K45" s="152"/>
      <c r="L45" s="152"/>
      <c r="M45" s="152"/>
      <c r="N45" s="153"/>
      <c r="O45" s="79" t="s">
        <v>3229</v>
      </c>
      <c r="P45" s="165" t="s">
        <v>3249</v>
      </c>
      <c r="Q45" s="166"/>
      <c r="R45" s="166"/>
      <c r="S45" s="166"/>
      <c r="T45" s="166"/>
      <c r="U45" s="166"/>
      <c r="V45" s="166"/>
      <c r="W45" s="166"/>
      <c r="X45" s="166"/>
      <c r="Y45" s="166"/>
      <c r="Z45" s="166"/>
      <c r="AA45" s="166"/>
      <c r="AB45" s="166"/>
      <c r="AC45" s="166"/>
      <c r="AD45" s="167"/>
      <c r="AE45" s="161" t="str">
        <f t="shared" ca="1" si="18"/>
        <v>sny_202310_backup_mt_yakko_atc4</v>
      </c>
      <c r="AF45" s="162"/>
      <c r="AG45" s="162"/>
      <c r="AH45" s="162"/>
      <c r="AI45" s="162"/>
      <c r="AJ45" s="162"/>
      <c r="AK45" s="162"/>
      <c r="AL45" s="163"/>
      <c r="AM45" s="161" t="str">
        <f t="shared" ca="1" si="19"/>
        <v>薬効ATC分類4マスタテーブルから組入れ条件の第一条件で絞り込んだ結果を格納するテーブル</v>
      </c>
      <c r="AN45" s="162"/>
      <c r="AO45" s="162"/>
      <c r="AP45" s="162"/>
      <c r="AQ45" s="162"/>
      <c r="AR45" s="162"/>
      <c r="AS45" s="162"/>
      <c r="AT45" s="162"/>
      <c r="AU45" s="162"/>
      <c r="AV45" s="162"/>
      <c r="AW45" s="162"/>
      <c r="AX45" s="162"/>
      <c r="AY45" s="162"/>
      <c r="AZ45" s="162"/>
      <c r="BA45" s="162"/>
      <c r="BB45" s="162"/>
      <c r="BC45" s="162"/>
      <c r="BD45" s="162"/>
      <c r="BE45" s="162"/>
      <c r="BF45" s="162"/>
      <c r="BG45" s="162"/>
      <c r="BH45" s="162"/>
      <c r="BI45" s="162"/>
      <c r="BJ45" s="164"/>
      <c r="BK45" s="32" t="str">
        <f t="shared" si="21"/>
        <v>ENT_01_A3-27_バックアップ_薬効ATC分類4マスタ.sql</v>
      </c>
    </row>
    <row r="46" spans="1:63" ht="37.5" hidden="1" customHeight="1" outlineLevel="1">
      <c r="A46" s="34" t="str">
        <f t="shared" si="17"/>
        <v>バックアップ_薬効ATC分類5マスタ</v>
      </c>
      <c r="B46" s="148" t="str">
        <f t="shared" si="20"/>
        <v>01</v>
      </c>
      <c r="C46" s="149"/>
      <c r="D46" s="149"/>
      <c r="E46" s="149"/>
      <c r="F46" s="150"/>
      <c r="G46" s="151" t="s">
        <v>196</v>
      </c>
      <c r="H46" s="152"/>
      <c r="I46" s="152"/>
      <c r="J46" s="152"/>
      <c r="K46" s="152"/>
      <c r="L46" s="152"/>
      <c r="M46" s="152"/>
      <c r="N46" s="153"/>
      <c r="O46" s="79" t="s">
        <v>3230</v>
      </c>
      <c r="P46" s="165" t="s">
        <v>3250</v>
      </c>
      <c r="Q46" s="166"/>
      <c r="R46" s="166"/>
      <c r="S46" s="166"/>
      <c r="T46" s="166"/>
      <c r="U46" s="166"/>
      <c r="V46" s="166"/>
      <c r="W46" s="166"/>
      <c r="X46" s="166"/>
      <c r="Y46" s="166"/>
      <c r="Z46" s="166"/>
      <c r="AA46" s="166"/>
      <c r="AB46" s="166"/>
      <c r="AC46" s="166"/>
      <c r="AD46" s="167"/>
      <c r="AE46" s="161" t="str">
        <f t="shared" ref="AE46" ca="1" si="22">IFERROR(INDIRECT(P46&amp;"!D8"),"")</f>
        <v>sny_202310_backup_mt_yakko_atc5</v>
      </c>
      <c r="AF46" s="162"/>
      <c r="AG46" s="162"/>
      <c r="AH46" s="162"/>
      <c r="AI46" s="162"/>
      <c r="AJ46" s="162"/>
      <c r="AK46" s="162"/>
      <c r="AL46" s="163"/>
      <c r="AM46" s="161" t="str">
        <f t="shared" ref="AM46" ca="1" si="23">IFERROR(INDIRECT(P46&amp;"!D9"),"")</f>
        <v>薬効ATC分類5マスタテーブルから組入れ条件の第一条件で絞り込んだ結果を格納するテーブル</v>
      </c>
      <c r="AN46" s="162"/>
      <c r="AO46" s="162"/>
      <c r="AP46" s="162"/>
      <c r="AQ46" s="162"/>
      <c r="AR46" s="162"/>
      <c r="AS46" s="162"/>
      <c r="AT46" s="162"/>
      <c r="AU46" s="162"/>
      <c r="AV46" s="162"/>
      <c r="AW46" s="162"/>
      <c r="AX46" s="162"/>
      <c r="AY46" s="162"/>
      <c r="AZ46" s="162"/>
      <c r="BA46" s="162"/>
      <c r="BB46" s="162"/>
      <c r="BC46" s="162"/>
      <c r="BD46" s="162"/>
      <c r="BE46" s="162"/>
      <c r="BF46" s="162"/>
      <c r="BG46" s="162"/>
      <c r="BH46" s="162"/>
      <c r="BI46" s="162"/>
      <c r="BJ46" s="164"/>
      <c r="BK46" s="32" t="str">
        <f t="shared" si="21"/>
        <v>ENT_01_A3-28_バックアップ_薬効ATC分類5マスタ.sql</v>
      </c>
    </row>
    <row r="47" spans="1:63" ht="37.5" hidden="1" customHeight="1" outlineLevel="1">
      <c r="A47" s="34" t="str">
        <f t="shared" si="17"/>
        <v>バックアップ_疾病マスタ</v>
      </c>
      <c r="B47" s="148" t="str">
        <f t="shared" si="20"/>
        <v>01</v>
      </c>
      <c r="C47" s="149"/>
      <c r="D47" s="149"/>
      <c r="E47" s="149"/>
      <c r="F47" s="150"/>
      <c r="G47" s="151" t="s">
        <v>196</v>
      </c>
      <c r="H47" s="152"/>
      <c r="I47" s="152"/>
      <c r="J47" s="152"/>
      <c r="K47" s="152"/>
      <c r="L47" s="152"/>
      <c r="M47" s="152"/>
      <c r="N47" s="153"/>
      <c r="O47" s="79" t="s">
        <v>3231</v>
      </c>
      <c r="P47" s="165" t="s">
        <v>3251</v>
      </c>
      <c r="Q47" s="166"/>
      <c r="R47" s="166"/>
      <c r="S47" s="166"/>
      <c r="T47" s="166"/>
      <c r="U47" s="166"/>
      <c r="V47" s="166"/>
      <c r="W47" s="166"/>
      <c r="X47" s="166"/>
      <c r="Y47" s="166"/>
      <c r="Z47" s="166"/>
      <c r="AA47" s="166"/>
      <c r="AB47" s="166"/>
      <c r="AC47" s="166"/>
      <c r="AD47" s="167"/>
      <c r="AE47" s="161" t="str">
        <f t="shared" ref="AE47:AE51" ca="1" si="24">IFERROR(INDIRECT(P47&amp;"!D8"),"")</f>
        <v>sny_202310_backup_mt_shippei</v>
      </c>
      <c r="AF47" s="162"/>
      <c r="AG47" s="162"/>
      <c r="AH47" s="162"/>
      <c r="AI47" s="162"/>
      <c r="AJ47" s="162"/>
      <c r="AK47" s="162"/>
      <c r="AL47" s="163"/>
      <c r="AM47" s="161" t="str">
        <f t="shared" ref="AM47:AM51" ca="1" si="25">IFERROR(INDIRECT(P47&amp;"!D9"),"")</f>
        <v>疾病マスタテーブルから組入れ条件の第一条件で絞り込んだ結果を格納するテーブル</v>
      </c>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4"/>
      <c r="BK47" s="32" t="str">
        <f t="shared" si="21"/>
        <v>ENT_01_A3-29_バックアップ_疾病マスタ.sql</v>
      </c>
    </row>
    <row r="48" spans="1:63" ht="37.5" hidden="1" customHeight="1" outlineLevel="1">
      <c r="A48" s="34" t="str">
        <f t="shared" si="17"/>
        <v>バックアップ_ICD10大分類マスタ</v>
      </c>
      <c r="B48" s="148" t="str">
        <f t="shared" si="20"/>
        <v>01</v>
      </c>
      <c r="C48" s="149"/>
      <c r="D48" s="149"/>
      <c r="E48" s="149"/>
      <c r="F48" s="150"/>
      <c r="G48" s="151" t="s">
        <v>196</v>
      </c>
      <c r="H48" s="152"/>
      <c r="I48" s="152"/>
      <c r="J48" s="152"/>
      <c r="K48" s="152"/>
      <c r="L48" s="152"/>
      <c r="M48" s="152"/>
      <c r="N48" s="153"/>
      <c r="O48" s="79" t="s">
        <v>3235</v>
      </c>
      <c r="P48" s="165" t="s">
        <v>3252</v>
      </c>
      <c r="Q48" s="166"/>
      <c r="R48" s="166"/>
      <c r="S48" s="166"/>
      <c r="T48" s="166"/>
      <c r="U48" s="166"/>
      <c r="V48" s="166"/>
      <c r="W48" s="166"/>
      <c r="X48" s="166"/>
      <c r="Y48" s="166"/>
      <c r="Z48" s="166"/>
      <c r="AA48" s="166"/>
      <c r="AB48" s="166"/>
      <c r="AC48" s="166"/>
      <c r="AD48" s="167"/>
      <c r="AE48" s="161" t="str">
        <f t="shared" ca="1" si="24"/>
        <v>sny_202310_backup_mt_icd10_l</v>
      </c>
      <c r="AF48" s="162"/>
      <c r="AG48" s="162"/>
      <c r="AH48" s="162"/>
      <c r="AI48" s="162"/>
      <c r="AJ48" s="162"/>
      <c r="AK48" s="162"/>
      <c r="AL48" s="163"/>
      <c r="AM48" s="161" t="str">
        <f t="shared" ca="1" si="25"/>
        <v>ICD10大分類マスタテーブルから組入れ条件の第一条件で絞り込んだ結果を格納するテーブル</v>
      </c>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4"/>
      <c r="BK48" s="32" t="str">
        <f t="shared" si="21"/>
        <v>ENT_01_A3-30_バックアップ_ICD10大分類マスタ.sql</v>
      </c>
    </row>
    <row r="49" spans="1:63" ht="37.5" hidden="1" customHeight="1" outlineLevel="1">
      <c r="A49" s="34" t="str">
        <f t="shared" si="17"/>
        <v>バックアップ_ICD10中分類マスタ</v>
      </c>
      <c r="B49" s="148" t="str">
        <f t="shared" si="20"/>
        <v>01</v>
      </c>
      <c r="C49" s="149"/>
      <c r="D49" s="149"/>
      <c r="E49" s="149"/>
      <c r="F49" s="150"/>
      <c r="G49" s="151" t="s">
        <v>196</v>
      </c>
      <c r="H49" s="152"/>
      <c r="I49" s="152"/>
      <c r="J49" s="152"/>
      <c r="K49" s="152"/>
      <c r="L49" s="152"/>
      <c r="M49" s="152"/>
      <c r="N49" s="153"/>
      <c r="O49" s="79" t="s">
        <v>3232</v>
      </c>
      <c r="P49" s="165" t="s">
        <v>3253</v>
      </c>
      <c r="Q49" s="166"/>
      <c r="R49" s="166"/>
      <c r="S49" s="166"/>
      <c r="T49" s="166"/>
      <c r="U49" s="166"/>
      <c r="V49" s="166"/>
      <c r="W49" s="166"/>
      <c r="X49" s="166"/>
      <c r="Y49" s="166"/>
      <c r="Z49" s="166"/>
      <c r="AA49" s="166"/>
      <c r="AB49" s="166"/>
      <c r="AC49" s="166"/>
      <c r="AD49" s="167"/>
      <c r="AE49" s="161" t="str">
        <f t="shared" ca="1" si="24"/>
        <v>sny_202310_backup_mt_icd10_m</v>
      </c>
      <c r="AF49" s="162"/>
      <c r="AG49" s="162"/>
      <c r="AH49" s="162"/>
      <c r="AI49" s="162"/>
      <c r="AJ49" s="162"/>
      <c r="AK49" s="162"/>
      <c r="AL49" s="163"/>
      <c r="AM49" s="161" t="str">
        <f t="shared" ca="1" si="25"/>
        <v>ICD10中分類マスタテーブルから組入れ条件の第一条件で絞り込んだ結果を格納するテーブル</v>
      </c>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4"/>
      <c r="BK49" s="32" t="str">
        <f t="shared" si="21"/>
        <v>ENT_01_A3-31_バックアップ_ICD10中分類マスタ.sql</v>
      </c>
    </row>
    <row r="50" spans="1:63" ht="37.5" hidden="1" customHeight="1" outlineLevel="1">
      <c r="A50" s="34" t="str">
        <f t="shared" si="17"/>
        <v>バックアップ_ICD10小分類マスタ</v>
      </c>
      <c r="B50" s="148" t="str">
        <f t="shared" si="20"/>
        <v>01</v>
      </c>
      <c r="C50" s="149"/>
      <c r="D50" s="149"/>
      <c r="E50" s="149"/>
      <c r="F50" s="150"/>
      <c r="G50" s="151" t="s">
        <v>196</v>
      </c>
      <c r="H50" s="152"/>
      <c r="I50" s="152"/>
      <c r="J50" s="152"/>
      <c r="K50" s="152"/>
      <c r="L50" s="152"/>
      <c r="M50" s="152"/>
      <c r="N50" s="153"/>
      <c r="O50" s="79" t="s">
        <v>3233</v>
      </c>
      <c r="P50" s="165" t="s">
        <v>3254</v>
      </c>
      <c r="Q50" s="166"/>
      <c r="R50" s="166"/>
      <c r="S50" s="166"/>
      <c r="T50" s="166"/>
      <c r="U50" s="166"/>
      <c r="V50" s="166"/>
      <c r="W50" s="166"/>
      <c r="X50" s="166"/>
      <c r="Y50" s="166"/>
      <c r="Z50" s="166"/>
      <c r="AA50" s="166"/>
      <c r="AB50" s="166"/>
      <c r="AC50" s="166"/>
      <c r="AD50" s="167"/>
      <c r="AE50" s="161" t="str">
        <f t="shared" ca="1" si="24"/>
        <v>sny_202310_backup_mt_icd10_s</v>
      </c>
      <c r="AF50" s="162"/>
      <c r="AG50" s="162"/>
      <c r="AH50" s="162"/>
      <c r="AI50" s="162"/>
      <c r="AJ50" s="162"/>
      <c r="AK50" s="162"/>
      <c r="AL50" s="163"/>
      <c r="AM50" s="161" t="str">
        <f t="shared" ca="1" si="25"/>
        <v>ICD10小分類マスタテーブルから組入れ条件の第一条件で絞り込んだ結果を格納するテーブル</v>
      </c>
      <c r="AN50" s="162"/>
      <c r="AO50" s="162"/>
      <c r="AP50" s="162"/>
      <c r="AQ50" s="162"/>
      <c r="AR50" s="162"/>
      <c r="AS50" s="162"/>
      <c r="AT50" s="162"/>
      <c r="AU50" s="162"/>
      <c r="AV50" s="162"/>
      <c r="AW50" s="162"/>
      <c r="AX50" s="162"/>
      <c r="AY50" s="162"/>
      <c r="AZ50" s="162"/>
      <c r="BA50" s="162"/>
      <c r="BB50" s="162"/>
      <c r="BC50" s="162"/>
      <c r="BD50" s="162"/>
      <c r="BE50" s="162"/>
      <c r="BF50" s="162"/>
      <c r="BG50" s="162"/>
      <c r="BH50" s="162"/>
      <c r="BI50" s="162"/>
      <c r="BJ50" s="164"/>
      <c r="BK50" s="32" t="str">
        <f t="shared" si="21"/>
        <v>ENT_01_A3-32_バックアップ_ICD10小分類マスタ.sql</v>
      </c>
    </row>
    <row r="51" spans="1:63" ht="37.5" hidden="1" customHeight="1" outlineLevel="1">
      <c r="A51" s="34" t="str">
        <f t="shared" si="17"/>
        <v>バックアップ_ICD10細分類マスタ</v>
      </c>
      <c r="B51" s="148" t="str">
        <f t="shared" si="20"/>
        <v>01</v>
      </c>
      <c r="C51" s="149"/>
      <c r="D51" s="149"/>
      <c r="E51" s="149"/>
      <c r="F51" s="150"/>
      <c r="G51" s="151" t="s">
        <v>196</v>
      </c>
      <c r="H51" s="152"/>
      <c r="I51" s="152"/>
      <c r="J51" s="152"/>
      <c r="K51" s="152"/>
      <c r="L51" s="152"/>
      <c r="M51" s="152"/>
      <c r="N51" s="153"/>
      <c r="O51" s="79" t="s">
        <v>3234</v>
      </c>
      <c r="P51" s="165" t="s">
        <v>3255</v>
      </c>
      <c r="Q51" s="166"/>
      <c r="R51" s="166"/>
      <c r="S51" s="166"/>
      <c r="T51" s="166"/>
      <c r="U51" s="166"/>
      <c r="V51" s="166"/>
      <c r="W51" s="166"/>
      <c r="X51" s="166"/>
      <c r="Y51" s="166"/>
      <c r="Z51" s="166"/>
      <c r="AA51" s="166"/>
      <c r="AB51" s="166"/>
      <c r="AC51" s="166"/>
      <c r="AD51" s="167"/>
      <c r="AE51" s="161" t="str">
        <f t="shared" ca="1" si="24"/>
        <v>sny_202310_backup_mt_icd10_ss</v>
      </c>
      <c r="AF51" s="162"/>
      <c r="AG51" s="162"/>
      <c r="AH51" s="162"/>
      <c r="AI51" s="162"/>
      <c r="AJ51" s="162"/>
      <c r="AK51" s="162"/>
      <c r="AL51" s="163"/>
      <c r="AM51" s="161" t="str">
        <f t="shared" ca="1" si="25"/>
        <v>ICD10細分類マスタテーブルから組入れ条件の第一条件で絞り込んだ結果を格納するテーブル</v>
      </c>
      <c r="AN51" s="162"/>
      <c r="AO51" s="162"/>
      <c r="AP51" s="162"/>
      <c r="AQ51" s="162"/>
      <c r="AR51" s="162"/>
      <c r="AS51" s="162"/>
      <c r="AT51" s="162"/>
      <c r="AU51" s="162"/>
      <c r="AV51" s="162"/>
      <c r="AW51" s="162"/>
      <c r="AX51" s="162"/>
      <c r="AY51" s="162"/>
      <c r="AZ51" s="162"/>
      <c r="BA51" s="162"/>
      <c r="BB51" s="162"/>
      <c r="BC51" s="162"/>
      <c r="BD51" s="162"/>
      <c r="BE51" s="162"/>
      <c r="BF51" s="162"/>
      <c r="BG51" s="162"/>
      <c r="BH51" s="162"/>
      <c r="BI51" s="162"/>
      <c r="BJ51" s="164"/>
      <c r="BK51" s="32" t="str">
        <f t="shared" si="21"/>
        <v>ENT_01_A3-33_バックアップ_ICD10細分類マスタ.sql</v>
      </c>
    </row>
    <row r="52" spans="1:63" ht="37.5" hidden="1" customHeight="1" outlineLevel="1">
      <c r="A52" s="34" t="str">
        <f t="shared" ref="A52:A55" si="26">P52</f>
        <v>バックアップ_DPC2桁マスタ</v>
      </c>
      <c r="B52" s="148" t="str">
        <f t="shared" si="20"/>
        <v>01</v>
      </c>
      <c r="C52" s="149"/>
      <c r="D52" s="149"/>
      <c r="E52" s="149"/>
      <c r="F52" s="150"/>
      <c r="G52" s="151" t="s">
        <v>196</v>
      </c>
      <c r="H52" s="152"/>
      <c r="I52" s="152"/>
      <c r="J52" s="152"/>
      <c r="K52" s="152"/>
      <c r="L52" s="152"/>
      <c r="M52" s="152"/>
      <c r="N52" s="153"/>
      <c r="O52" s="79" t="s">
        <v>3236</v>
      </c>
      <c r="P52" s="165" t="s">
        <v>3256</v>
      </c>
      <c r="Q52" s="166"/>
      <c r="R52" s="166"/>
      <c r="S52" s="166"/>
      <c r="T52" s="166"/>
      <c r="U52" s="166"/>
      <c r="V52" s="166"/>
      <c r="W52" s="166"/>
      <c r="X52" s="166"/>
      <c r="Y52" s="166"/>
      <c r="Z52" s="166"/>
      <c r="AA52" s="166"/>
      <c r="AB52" s="166"/>
      <c r="AC52" s="166"/>
      <c r="AD52" s="167"/>
      <c r="AE52" s="161" t="str">
        <f t="shared" ref="AE52:AE55" ca="1" si="27">IFERROR(INDIRECT(P52&amp;"!D8"),"")</f>
        <v>sny_202310_backup_mt_dpc2</v>
      </c>
      <c r="AF52" s="162"/>
      <c r="AG52" s="162"/>
      <c r="AH52" s="162"/>
      <c r="AI52" s="162"/>
      <c r="AJ52" s="162"/>
      <c r="AK52" s="162"/>
      <c r="AL52" s="163"/>
      <c r="AM52" s="161" t="str">
        <f t="shared" ref="AM52:AM55" ca="1" si="28">IFERROR(INDIRECT(P52&amp;"!D9"),"")</f>
        <v>DPC2桁マスタテーブルから組入れ条件の第一条件で絞り込んだ結果を格納するテーブル</v>
      </c>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4"/>
      <c r="BK52" s="32" t="str">
        <f t="shared" ref="BK52:BK55" si="29">IF(P52&lt;&gt;"",O52&amp;"_"&amp;P52&amp;".sql","")</f>
        <v>ENT_01_A3-34_バックアップ_DPC2桁マスタ.sql</v>
      </c>
    </row>
    <row r="53" spans="1:63" ht="37.5" hidden="1" customHeight="1" outlineLevel="1">
      <c r="A53" s="34" t="str">
        <f t="shared" si="26"/>
        <v>バックアップ_DPC6桁マスタ</v>
      </c>
      <c r="B53" s="148" t="str">
        <f t="shared" si="20"/>
        <v>01</v>
      </c>
      <c r="C53" s="149"/>
      <c r="D53" s="149"/>
      <c r="E53" s="149"/>
      <c r="F53" s="150"/>
      <c r="G53" s="151" t="s">
        <v>196</v>
      </c>
      <c r="H53" s="152"/>
      <c r="I53" s="152"/>
      <c r="J53" s="152"/>
      <c r="K53" s="152"/>
      <c r="L53" s="152"/>
      <c r="M53" s="152"/>
      <c r="N53" s="153"/>
      <c r="O53" s="79" t="s">
        <v>3237</v>
      </c>
      <c r="P53" s="165" t="s">
        <v>3257</v>
      </c>
      <c r="Q53" s="166"/>
      <c r="R53" s="166"/>
      <c r="S53" s="166"/>
      <c r="T53" s="166"/>
      <c r="U53" s="166"/>
      <c r="V53" s="166"/>
      <c r="W53" s="166"/>
      <c r="X53" s="166"/>
      <c r="Y53" s="166"/>
      <c r="Z53" s="166"/>
      <c r="AA53" s="166"/>
      <c r="AB53" s="166"/>
      <c r="AC53" s="166"/>
      <c r="AD53" s="167"/>
      <c r="AE53" s="161" t="str">
        <f t="shared" ca="1" si="27"/>
        <v>sny_202310_backup_mt_dpc6</v>
      </c>
      <c r="AF53" s="162"/>
      <c r="AG53" s="162"/>
      <c r="AH53" s="162"/>
      <c r="AI53" s="162"/>
      <c r="AJ53" s="162"/>
      <c r="AK53" s="162"/>
      <c r="AL53" s="163"/>
      <c r="AM53" s="161" t="str">
        <f t="shared" ca="1" si="28"/>
        <v>DPC6桁マスタテーブルから組入れ条件の第一条件で絞り込んだ結果を格納するテーブル</v>
      </c>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4"/>
      <c r="BK53" s="32" t="str">
        <f t="shared" si="29"/>
        <v>ENT_01_A3-35_バックアップ_DPC6桁マスタ.sql</v>
      </c>
    </row>
    <row r="54" spans="1:63" ht="37.5" hidden="1" customHeight="1" outlineLevel="1">
      <c r="A54" s="34" t="str">
        <f t="shared" si="26"/>
        <v>バックアップ_郵便番号マスタ</v>
      </c>
      <c r="B54" s="148" t="str">
        <f t="shared" si="20"/>
        <v>01</v>
      </c>
      <c r="C54" s="149"/>
      <c r="D54" s="149"/>
      <c r="E54" s="149"/>
      <c r="F54" s="150"/>
      <c r="G54" s="151" t="s">
        <v>196</v>
      </c>
      <c r="H54" s="152"/>
      <c r="I54" s="152"/>
      <c r="J54" s="152"/>
      <c r="K54" s="152"/>
      <c r="L54" s="152"/>
      <c r="M54" s="152"/>
      <c r="N54" s="153"/>
      <c r="O54" s="79" t="s">
        <v>3238</v>
      </c>
      <c r="P54" s="165" t="s">
        <v>3258</v>
      </c>
      <c r="Q54" s="166"/>
      <c r="R54" s="166"/>
      <c r="S54" s="166"/>
      <c r="T54" s="166"/>
      <c r="U54" s="166"/>
      <c r="V54" s="166"/>
      <c r="W54" s="166"/>
      <c r="X54" s="166"/>
      <c r="Y54" s="166"/>
      <c r="Z54" s="166"/>
      <c r="AA54" s="166"/>
      <c r="AB54" s="166"/>
      <c r="AC54" s="166"/>
      <c r="AD54" s="167"/>
      <c r="AE54" s="161" t="str">
        <f t="shared" ca="1" si="27"/>
        <v>sny_202310_backup_mt_postal</v>
      </c>
      <c r="AF54" s="162"/>
      <c r="AG54" s="162"/>
      <c r="AH54" s="162"/>
      <c r="AI54" s="162"/>
      <c r="AJ54" s="162"/>
      <c r="AK54" s="162"/>
      <c r="AL54" s="163"/>
      <c r="AM54" s="161" t="str">
        <f t="shared" ca="1" si="28"/>
        <v>郵便番号マスタテーブルから組入れ条件の第一条件で絞り込んだ結果を格納するテーブル</v>
      </c>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4"/>
      <c r="BK54" s="32" t="str">
        <f t="shared" si="29"/>
        <v>ENT_01_A3-36_バックアップ_郵便番号マスタ.sql</v>
      </c>
    </row>
    <row r="55" spans="1:63" ht="37.5" hidden="1" customHeight="1" outlineLevel="1">
      <c r="A55" s="34" t="str">
        <f t="shared" si="26"/>
        <v>バックアップ_特定機材マスタ</v>
      </c>
      <c r="B55" s="148" t="str">
        <f t="shared" si="20"/>
        <v>01</v>
      </c>
      <c r="C55" s="149"/>
      <c r="D55" s="149"/>
      <c r="E55" s="149"/>
      <c r="F55" s="150"/>
      <c r="G55" s="151" t="s">
        <v>196</v>
      </c>
      <c r="H55" s="152"/>
      <c r="I55" s="152"/>
      <c r="J55" s="152"/>
      <c r="K55" s="152"/>
      <c r="L55" s="152"/>
      <c r="M55" s="152"/>
      <c r="N55" s="153"/>
      <c r="O55" s="79" t="s">
        <v>3239</v>
      </c>
      <c r="P55" s="165" t="s">
        <v>3259</v>
      </c>
      <c r="Q55" s="166"/>
      <c r="R55" s="166"/>
      <c r="S55" s="166"/>
      <c r="T55" s="166"/>
      <c r="U55" s="166"/>
      <c r="V55" s="166"/>
      <c r="W55" s="166"/>
      <c r="X55" s="166"/>
      <c r="Y55" s="166"/>
      <c r="Z55" s="166"/>
      <c r="AA55" s="166"/>
      <c r="AB55" s="166"/>
      <c r="AC55" s="166"/>
      <c r="AD55" s="167"/>
      <c r="AE55" s="161" t="str">
        <f t="shared" ca="1" si="27"/>
        <v>sny_202310_backup_mt_tokutei_kizai</v>
      </c>
      <c r="AF55" s="162"/>
      <c r="AG55" s="162"/>
      <c r="AH55" s="162"/>
      <c r="AI55" s="162"/>
      <c r="AJ55" s="162"/>
      <c r="AK55" s="162"/>
      <c r="AL55" s="163"/>
      <c r="AM55" s="161" t="str">
        <f t="shared" ca="1" si="28"/>
        <v>特定機材マスタテーブルから組入れ条件の第一条件で絞り込んだ結果を格納するテーブル</v>
      </c>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4"/>
      <c r="BK55" s="32" t="str">
        <f t="shared" si="29"/>
        <v>ENT_01_A3-37_バックアップ_特定機材マスタ.sql</v>
      </c>
    </row>
    <row r="56" spans="1:63" ht="37.5" hidden="1" customHeight="1" outlineLevel="1">
      <c r="A56" s="34" t="str">
        <f t="shared" ref="A56:A68" si="30">P56</f>
        <v>バックアップ_年度マスタ</v>
      </c>
      <c r="B56" s="148" t="str">
        <f t="shared" si="20"/>
        <v>01</v>
      </c>
      <c r="C56" s="149"/>
      <c r="D56" s="149"/>
      <c r="E56" s="149"/>
      <c r="F56" s="150"/>
      <c r="G56" s="151" t="s">
        <v>196</v>
      </c>
      <c r="H56" s="152"/>
      <c r="I56" s="152"/>
      <c r="J56" s="152"/>
      <c r="K56" s="152"/>
      <c r="L56" s="152"/>
      <c r="M56" s="152"/>
      <c r="N56" s="153"/>
      <c r="O56" s="79" t="s">
        <v>3161</v>
      </c>
      <c r="P56" s="165" t="s">
        <v>2432</v>
      </c>
      <c r="Q56" s="166"/>
      <c r="R56" s="166"/>
      <c r="S56" s="166"/>
      <c r="T56" s="166"/>
      <c r="U56" s="166"/>
      <c r="V56" s="166"/>
      <c r="W56" s="166"/>
      <c r="X56" s="166"/>
      <c r="Y56" s="166"/>
      <c r="Z56" s="166"/>
      <c r="AA56" s="166"/>
      <c r="AB56" s="166"/>
      <c r="AC56" s="166"/>
      <c r="AD56" s="167"/>
      <c r="AE56" s="161" t="str">
        <f t="shared" ref="AE56:AE68" ca="1" si="31">IFERROR(INDIRECT(P56&amp;"!D8"),"")</f>
        <v>sny_202310_backup_mt2_nendo</v>
      </c>
      <c r="AF56" s="162"/>
      <c r="AG56" s="162"/>
      <c r="AH56" s="162"/>
      <c r="AI56" s="162"/>
      <c r="AJ56" s="162"/>
      <c r="AK56" s="162"/>
      <c r="AL56" s="163"/>
      <c r="AM56" s="161" t="str">
        <f t="shared" ref="AM56:AM68" ca="1" si="32">IFERROR(INDIRECT(P56&amp;"!D9"),"")</f>
        <v>年度マスタテーブルから組入れ条件の第一条件で絞り込んだ結果を格納するテーブル</v>
      </c>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4"/>
      <c r="BK56" s="32" t="str">
        <f t="shared" si="16"/>
        <v>ENT_01_A4-01_バックアップ_年度マスタ.sql</v>
      </c>
    </row>
    <row r="57" spans="1:63" ht="37.5" hidden="1" customHeight="1" outlineLevel="1">
      <c r="A57" s="34" t="str">
        <f t="shared" si="30"/>
        <v>バックアップ_都道府県地方コードマスタ</v>
      </c>
      <c r="B57" s="148" t="str">
        <f t="shared" si="20"/>
        <v>01</v>
      </c>
      <c r="C57" s="149"/>
      <c r="D57" s="149"/>
      <c r="E57" s="149"/>
      <c r="F57" s="150"/>
      <c r="G57" s="151" t="s">
        <v>196</v>
      </c>
      <c r="H57" s="152"/>
      <c r="I57" s="152"/>
      <c r="J57" s="152"/>
      <c r="K57" s="152"/>
      <c r="L57" s="152"/>
      <c r="M57" s="152"/>
      <c r="N57" s="153"/>
      <c r="O57" s="79" t="s">
        <v>3162</v>
      </c>
      <c r="P57" s="165" t="s">
        <v>2456</v>
      </c>
      <c r="Q57" s="166"/>
      <c r="R57" s="166"/>
      <c r="S57" s="166"/>
      <c r="T57" s="166"/>
      <c r="U57" s="166"/>
      <c r="V57" s="166"/>
      <c r="W57" s="166"/>
      <c r="X57" s="166"/>
      <c r="Y57" s="166"/>
      <c r="Z57" s="166"/>
      <c r="AA57" s="166"/>
      <c r="AB57" s="166"/>
      <c r="AC57" s="166"/>
      <c r="AD57" s="167"/>
      <c r="AE57" s="161" t="str">
        <f t="shared" ca="1" si="31"/>
        <v>sny_202310_backup_mt2_prefecture_region</v>
      </c>
      <c r="AF57" s="162"/>
      <c r="AG57" s="162"/>
      <c r="AH57" s="162"/>
      <c r="AI57" s="162"/>
      <c r="AJ57" s="162"/>
      <c r="AK57" s="162"/>
      <c r="AL57" s="163"/>
      <c r="AM57" s="161" t="str">
        <f t="shared" ca="1" si="32"/>
        <v>都道府県地方コードマスタテーブルから組入れ条件の第一条件で絞り込んだ結果を格納するテーブル</v>
      </c>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4"/>
      <c r="BK57" s="32" t="str">
        <f t="shared" si="16"/>
        <v>ENT_01_A4-02_バックアップ_都道府県地方コードマスタ.sql</v>
      </c>
    </row>
    <row r="58" spans="1:63" ht="37.5" hidden="1" customHeight="1" outlineLevel="1">
      <c r="A58" s="34" t="str">
        <f t="shared" si="30"/>
        <v>バックアップ_施設属性マスタ</v>
      </c>
      <c r="B58" s="148" t="str">
        <f t="shared" si="20"/>
        <v>01</v>
      </c>
      <c r="C58" s="149"/>
      <c r="D58" s="149"/>
      <c r="E58" s="149"/>
      <c r="F58" s="150"/>
      <c r="G58" s="151" t="s">
        <v>196</v>
      </c>
      <c r="H58" s="152"/>
      <c r="I58" s="152"/>
      <c r="J58" s="152"/>
      <c r="K58" s="152"/>
      <c r="L58" s="152"/>
      <c r="M58" s="152"/>
      <c r="N58" s="153"/>
      <c r="O58" s="79" t="s">
        <v>3163</v>
      </c>
      <c r="P58" s="165" t="s">
        <v>2492</v>
      </c>
      <c r="Q58" s="166"/>
      <c r="R58" s="166"/>
      <c r="S58" s="166"/>
      <c r="T58" s="166"/>
      <c r="U58" s="166"/>
      <c r="V58" s="166"/>
      <c r="W58" s="166"/>
      <c r="X58" s="166"/>
      <c r="Y58" s="166"/>
      <c r="Z58" s="166"/>
      <c r="AA58" s="166"/>
      <c r="AB58" s="166"/>
      <c r="AC58" s="166"/>
      <c r="AD58" s="167"/>
      <c r="AE58" s="161" t="str">
        <f t="shared" ca="1" si="31"/>
        <v>sny_202310_backup_mt2_shisetsu_zokusei</v>
      </c>
      <c r="AF58" s="162"/>
      <c r="AG58" s="162"/>
      <c r="AH58" s="162"/>
      <c r="AI58" s="162"/>
      <c r="AJ58" s="162"/>
      <c r="AK58" s="162"/>
      <c r="AL58" s="163"/>
      <c r="AM58" s="161" t="str">
        <f t="shared" ca="1" si="32"/>
        <v>施設属性マスタテーブルから組入れ条件の第一条件で絞り込んだ結果を格納するテーブル</v>
      </c>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4"/>
      <c r="BK58" s="32" t="str">
        <f t="shared" si="16"/>
        <v>ENT_01_A4-03_バックアップ_施設属性マスタ.sql</v>
      </c>
    </row>
    <row r="59" spans="1:63" ht="37.5" hidden="1" customHeight="1" outlineLevel="1">
      <c r="A59" s="34" t="str">
        <f t="shared" si="30"/>
        <v>バックアップ_二次医療圏マスタ</v>
      </c>
      <c r="B59" s="148" t="str">
        <f t="shared" si="20"/>
        <v>01</v>
      </c>
      <c r="C59" s="149"/>
      <c r="D59" s="149"/>
      <c r="E59" s="149"/>
      <c r="F59" s="150"/>
      <c r="G59" s="151" t="s">
        <v>196</v>
      </c>
      <c r="H59" s="152"/>
      <c r="I59" s="152"/>
      <c r="J59" s="152"/>
      <c r="K59" s="152"/>
      <c r="L59" s="152"/>
      <c r="M59" s="152"/>
      <c r="N59" s="153"/>
      <c r="O59" s="79" t="s">
        <v>3164</v>
      </c>
      <c r="P59" s="165" t="s">
        <v>2535</v>
      </c>
      <c r="Q59" s="166"/>
      <c r="R59" s="166"/>
      <c r="S59" s="166"/>
      <c r="T59" s="166"/>
      <c r="U59" s="166"/>
      <c r="V59" s="166"/>
      <c r="W59" s="166"/>
      <c r="X59" s="166"/>
      <c r="Y59" s="166"/>
      <c r="Z59" s="166"/>
      <c r="AA59" s="166"/>
      <c r="AB59" s="166"/>
      <c r="AC59" s="166"/>
      <c r="AD59" s="167"/>
      <c r="AE59" s="161" t="str">
        <f t="shared" ca="1" si="31"/>
        <v>sny_202310_backup_mt2_iryouken2</v>
      </c>
      <c r="AF59" s="162"/>
      <c r="AG59" s="162"/>
      <c r="AH59" s="162"/>
      <c r="AI59" s="162"/>
      <c r="AJ59" s="162"/>
      <c r="AK59" s="162"/>
      <c r="AL59" s="163"/>
      <c r="AM59" s="161" t="str">
        <f t="shared" ca="1" si="32"/>
        <v>二次医療圏マスタテーブルから組入れ条件の第一条件で絞り込んだ結果を格納するテーブル</v>
      </c>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4"/>
      <c r="BK59" s="32" t="str">
        <f t="shared" si="16"/>
        <v>ENT_01_A4-04_バックアップ_二次医療圏マスタ.sql</v>
      </c>
    </row>
    <row r="60" spans="1:63" ht="37.5" hidden="1" customHeight="1" outlineLevel="1">
      <c r="A60" s="34" t="str">
        <f t="shared" si="30"/>
        <v>バックアップ_施設ID対応マスタ</v>
      </c>
      <c r="B60" s="148" t="str">
        <f t="shared" si="20"/>
        <v>01</v>
      </c>
      <c r="C60" s="149"/>
      <c r="D60" s="149"/>
      <c r="E60" s="149"/>
      <c r="F60" s="150"/>
      <c r="G60" s="151" t="s">
        <v>196</v>
      </c>
      <c r="H60" s="152"/>
      <c r="I60" s="152"/>
      <c r="J60" s="152"/>
      <c r="K60" s="152"/>
      <c r="L60" s="152"/>
      <c r="M60" s="152"/>
      <c r="N60" s="153"/>
      <c r="O60" s="79" t="s">
        <v>3165</v>
      </c>
      <c r="P60" s="165" t="s">
        <v>2540</v>
      </c>
      <c r="Q60" s="166"/>
      <c r="R60" s="166"/>
      <c r="S60" s="166"/>
      <c r="T60" s="166"/>
      <c r="U60" s="166"/>
      <c r="V60" s="166"/>
      <c r="W60" s="166"/>
      <c r="X60" s="166"/>
      <c r="Y60" s="166"/>
      <c r="Z60" s="166"/>
      <c r="AA60" s="166"/>
      <c r="AB60" s="166"/>
      <c r="AC60" s="166"/>
      <c r="AD60" s="167"/>
      <c r="AE60" s="161" t="str">
        <f t="shared" ca="1" si="31"/>
        <v>sny_202310_backup_mt2_old_new_shisetsu</v>
      </c>
      <c r="AF60" s="162"/>
      <c r="AG60" s="162"/>
      <c r="AH60" s="162"/>
      <c r="AI60" s="162"/>
      <c r="AJ60" s="162"/>
      <c r="AK60" s="162"/>
      <c r="AL60" s="163"/>
      <c r="AM60" s="161" t="str">
        <f t="shared" ca="1" si="32"/>
        <v>施設ID対応マスタテーブルから組入れ条件の第一条件で絞り込んだ結果を格納するテーブル</v>
      </c>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4"/>
      <c r="BK60" s="32" t="str">
        <f t="shared" si="16"/>
        <v>ENT_01_A4-05_バックアップ_施設ID対応マスタ.sql</v>
      </c>
    </row>
    <row r="61" spans="1:63" ht="37.5" hidden="1" customHeight="1" outlineLevel="1">
      <c r="A61" s="34" t="str">
        <f t="shared" si="30"/>
        <v>バックアップ_医薬品関連マスタ</v>
      </c>
      <c r="B61" s="148" t="str">
        <f t="shared" si="20"/>
        <v>01</v>
      </c>
      <c r="C61" s="149"/>
      <c r="D61" s="149"/>
      <c r="E61" s="149"/>
      <c r="F61" s="150"/>
      <c r="G61" s="151" t="s">
        <v>196</v>
      </c>
      <c r="H61" s="152"/>
      <c r="I61" s="152"/>
      <c r="J61" s="152"/>
      <c r="K61" s="152"/>
      <c r="L61" s="152"/>
      <c r="M61" s="152"/>
      <c r="N61" s="153"/>
      <c r="O61" s="79" t="s">
        <v>3166</v>
      </c>
      <c r="P61" s="165" t="s">
        <v>2548</v>
      </c>
      <c r="Q61" s="166"/>
      <c r="R61" s="166"/>
      <c r="S61" s="166"/>
      <c r="T61" s="166"/>
      <c r="U61" s="166"/>
      <c r="V61" s="166"/>
      <c r="W61" s="166"/>
      <c r="X61" s="166"/>
      <c r="Y61" s="166"/>
      <c r="Z61" s="166"/>
      <c r="AA61" s="166"/>
      <c r="AB61" s="166"/>
      <c r="AC61" s="166"/>
      <c r="AD61" s="167"/>
      <c r="AE61" s="161" t="str">
        <f t="shared" ca="1" si="31"/>
        <v>sny_202310_backup_mt2_iyakuhin_kanren</v>
      </c>
      <c r="AF61" s="162"/>
      <c r="AG61" s="162"/>
      <c r="AH61" s="162"/>
      <c r="AI61" s="162"/>
      <c r="AJ61" s="162"/>
      <c r="AK61" s="162"/>
      <c r="AL61" s="163"/>
      <c r="AM61" s="161" t="str">
        <f t="shared" ca="1" si="32"/>
        <v>医薬品関連マスタテーブルから組入れ条件の第一条件で絞り込んだ結果を格納するテーブル</v>
      </c>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4"/>
      <c r="BK61" s="32" t="str">
        <f t="shared" si="16"/>
        <v>ENT_01_A4-07_バックアップ_医薬品関連マスタ.sql</v>
      </c>
    </row>
    <row r="62" spans="1:63" ht="37.5" hidden="1" customHeight="1" outlineLevel="1">
      <c r="A62" s="34" t="str">
        <f t="shared" si="30"/>
        <v>バックアップ_薬価関連マスタ</v>
      </c>
      <c r="B62" s="148" t="str">
        <f t="shared" si="20"/>
        <v>01</v>
      </c>
      <c r="C62" s="149"/>
      <c r="D62" s="149"/>
      <c r="E62" s="149"/>
      <c r="F62" s="150"/>
      <c r="G62" s="151" t="s">
        <v>196</v>
      </c>
      <c r="H62" s="152"/>
      <c r="I62" s="152"/>
      <c r="J62" s="152"/>
      <c r="K62" s="152"/>
      <c r="L62" s="152"/>
      <c r="M62" s="152"/>
      <c r="N62" s="153"/>
      <c r="O62" s="79" t="s">
        <v>3167</v>
      </c>
      <c r="P62" s="165" t="s">
        <v>2604</v>
      </c>
      <c r="Q62" s="166"/>
      <c r="R62" s="166"/>
      <c r="S62" s="166"/>
      <c r="T62" s="166"/>
      <c r="U62" s="166"/>
      <c r="V62" s="166"/>
      <c r="W62" s="166"/>
      <c r="X62" s="166"/>
      <c r="Y62" s="166"/>
      <c r="Z62" s="166"/>
      <c r="AA62" s="166"/>
      <c r="AB62" s="166"/>
      <c r="AC62" s="166"/>
      <c r="AD62" s="167"/>
      <c r="AE62" s="161" t="str">
        <f t="shared" ca="1" si="31"/>
        <v>sny_202310_backup_mt2_price_kanren</v>
      </c>
      <c r="AF62" s="162"/>
      <c r="AG62" s="162"/>
      <c r="AH62" s="162"/>
      <c r="AI62" s="162"/>
      <c r="AJ62" s="162"/>
      <c r="AK62" s="162"/>
      <c r="AL62" s="163"/>
      <c r="AM62" s="161" t="str">
        <f t="shared" ca="1" si="32"/>
        <v>薬価関連マスタテーブルから組入れ条件の第一条件で絞り込んだ結果を格納するテーブル</v>
      </c>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4"/>
      <c r="BK62" s="32" t="str">
        <f t="shared" si="16"/>
        <v>ENT_01_A4-08_バックアップ_薬価関連マスタ.sql</v>
      </c>
    </row>
    <row r="63" spans="1:63" ht="37.5" hidden="1" customHeight="1" outlineLevel="1">
      <c r="A63" s="34" t="str">
        <f t="shared" si="30"/>
        <v>バックアップ_診療行為関連マスタ</v>
      </c>
      <c r="B63" s="148" t="str">
        <f t="shared" si="20"/>
        <v>01</v>
      </c>
      <c r="C63" s="149"/>
      <c r="D63" s="149"/>
      <c r="E63" s="149"/>
      <c r="F63" s="150"/>
      <c r="G63" s="151" t="s">
        <v>196</v>
      </c>
      <c r="H63" s="152"/>
      <c r="I63" s="152"/>
      <c r="J63" s="152"/>
      <c r="K63" s="152"/>
      <c r="L63" s="152"/>
      <c r="M63" s="152"/>
      <c r="N63" s="153"/>
      <c r="O63" s="79" t="s">
        <v>3168</v>
      </c>
      <c r="P63" s="165" t="s">
        <v>2611</v>
      </c>
      <c r="Q63" s="166"/>
      <c r="R63" s="166"/>
      <c r="S63" s="166"/>
      <c r="T63" s="166"/>
      <c r="U63" s="166"/>
      <c r="V63" s="166"/>
      <c r="W63" s="166"/>
      <c r="X63" s="166"/>
      <c r="Y63" s="166"/>
      <c r="Z63" s="166"/>
      <c r="AA63" s="166"/>
      <c r="AB63" s="166"/>
      <c r="AC63" s="166"/>
      <c r="AD63" s="167"/>
      <c r="AE63" s="161" t="str">
        <f t="shared" ca="1" si="31"/>
        <v>sny_202310_backup_mt2_shinryo_koi_kanren</v>
      </c>
      <c r="AF63" s="162"/>
      <c r="AG63" s="162"/>
      <c r="AH63" s="162"/>
      <c r="AI63" s="162"/>
      <c r="AJ63" s="162"/>
      <c r="AK63" s="162"/>
      <c r="AL63" s="163"/>
      <c r="AM63" s="161" t="str">
        <f t="shared" ca="1" si="32"/>
        <v>診療行為関連マスタテーブルから組入れ条件の第一条件で絞り込んだ結果を格納するテーブル</v>
      </c>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4"/>
      <c r="BK63" s="32" t="str">
        <f t="shared" si="16"/>
        <v>ENT_01_A4-09_バックアップ_診療行為関連マスタ.sql</v>
      </c>
    </row>
    <row r="64" spans="1:63" ht="37.5" hidden="1" customHeight="1" outlineLevel="1">
      <c r="A64" s="34" t="str">
        <f t="shared" si="30"/>
        <v>バックアップ_特定器材関連マスタ</v>
      </c>
      <c r="B64" s="148" t="str">
        <f t="shared" si="20"/>
        <v>01</v>
      </c>
      <c r="C64" s="149"/>
      <c r="D64" s="149"/>
      <c r="E64" s="149"/>
      <c r="F64" s="150"/>
      <c r="G64" s="151" t="s">
        <v>196</v>
      </c>
      <c r="H64" s="152"/>
      <c r="I64" s="152"/>
      <c r="J64" s="152"/>
      <c r="K64" s="152"/>
      <c r="L64" s="152"/>
      <c r="M64" s="152"/>
      <c r="N64" s="153"/>
      <c r="O64" s="79" t="s">
        <v>3169</v>
      </c>
      <c r="P64" s="165" t="s">
        <v>2631</v>
      </c>
      <c r="Q64" s="166"/>
      <c r="R64" s="166"/>
      <c r="S64" s="166"/>
      <c r="T64" s="166"/>
      <c r="U64" s="166"/>
      <c r="V64" s="166"/>
      <c r="W64" s="166"/>
      <c r="X64" s="166"/>
      <c r="Y64" s="166"/>
      <c r="Z64" s="166"/>
      <c r="AA64" s="166"/>
      <c r="AB64" s="166"/>
      <c r="AC64" s="166"/>
      <c r="AD64" s="167"/>
      <c r="AE64" s="161" t="str">
        <f t="shared" ca="1" si="31"/>
        <v>sny_202310_backup_mt2_tokutei_kizai_kanren</v>
      </c>
      <c r="AF64" s="162"/>
      <c r="AG64" s="162"/>
      <c r="AH64" s="162"/>
      <c r="AI64" s="162"/>
      <c r="AJ64" s="162"/>
      <c r="AK64" s="162"/>
      <c r="AL64" s="163"/>
      <c r="AM64" s="161" t="str">
        <f t="shared" ca="1" si="32"/>
        <v>特定器材関連マスタテーブルから組入れ条件の第一条件で絞り込んだ結果を格納するテーブル</v>
      </c>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4"/>
      <c r="BK64" s="32" t="str">
        <f t="shared" si="16"/>
        <v>ENT_01_A4-10_バックアップ_特定器材関連マスタ.sql</v>
      </c>
    </row>
    <row r="65" spans="1:64" ht="37.5" hidden="1" customHeight="1" outlineLevel="1">
      <c r="A65" s="34" t="str">
        <f t="shared" si="30"/>
        <v>バックアップ_DPC関連マスタ</v>
      </c>
      <c r="B65" s="148" t="str">
        <f t="shared" si="20"/>
        <v>01</v>
      </c>
      <c r="C65" s="149"/>
      <c r="D65" s="149"/>
      <c r="E65" s="149"/>
      <c r="F65" s="150"/>
      <c r="G65" s="151" t="s">
        <v>196</v>
      </c>
      <c r="H65" s="152"/>
      <c r="I65" s="152"/>
      <c r="J65" s="152"/>
      <c r="K65" s="152"/>
      <c r="L65" s="152"/>
      <c r="M65" s="152"/>
      <c r="N65" s="153"/>
      <c r="O65" s="79" t="s">
        <v>3170</v>
      </c>
      <c r="P65" s="165" t="s">
        <v>2643</v>
      </c>
      <c r="Q65" s="166"/>
      <c r="R65" s="166"/>
      <c r="S65" s="166"/>
      <c r="T65" s="166"/>
      <c r="U65" s="166"/>
      <c r="V65" s="166"/>
      <c r="W65" s="166"/>
      <c r="X65" s="166"/>
      <c r="Y65" s="166"/>
      <c r="Z65" s="166"/>
      <c r="AA65" s="166"/>
      <c r="AB65" s="166"/>
      <c r="AC65" s="166"/>
      <c r="AD65" s="167"/>
      <c r="AE65" s="161" t="str">
        <f t="shared" ca="1" si="31"/>
        <v>sny_202310_backup_mt2_dpc_kanren</v>
      </c>
      <c r="AF65" s="162"/>
      <c r="AG65" s="162"/>
      <c r="AH65" s="162"/>
      <c r="AI65" s="162"/>
      <c r="AJ65" s="162"/>
      <c r="AK65" s="162"/>
      <c r="AL65" s="163"/>
      <c r="AM65" s="161" t="str">
        <f t="shared" ca="1" si="32"/>
        <v>DPC関連マスタテーブルから組入れ条件の第一条件で絞り込んだ結果を格納するテーブル</v>
      </c>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4"/>
      <c r="BK65" s="32" t="str">
        <f t="shared" si="16"/>
        <v>ENT_01_A4-11_バックアップ_DPC関連マスタ.sql</v>
      </c>
    </row>
    <row r="66" spans="1:64" ht="37.5" hidden="1" customHeight="1" outlineLevel="1">
      <c r="A66" s="34" t="str">
        <f t="shared" si="30"/>
        <v>バックアップ_疾患関連マスタ</v>
      </c>
      <c r="B66" s="148" t="str">
        <f t="shared" si="20"/>
        <v>01</v>
      </c>
      <c r="C66" s="149"/>
      <c r="D66" s="149"/>
      <c r="E66" s="149"/>
      <c r="F66" s="150"/>
      <c r="G66" s="151" t="s">
        <v>196</v>
      </c>
      <c r="H66" s="152"/>
      <c r="I66" s="152"/>
      <c r="J66" s="152"/>
      <c r="K66" s="152"/>
      <c r="L66" s="152"/>
      <c r="M66" s="152"/>
      <c r="N66" s="153"/>
      <c r="O66" s="79" t="s">
        <v>3171</v>
      </c>
      <c r="P66" s="165" t="s">
        <v>2652</v>
      </c>
      <c r="Q66" s="166"/>
      <c r="R66" s="166"/>
      <c r="S66" s="166"/>
      <c r="T66" s="166"/>
      <c r="U66" s="166"/>
      <c r="V66" s="166"/>
      <c r="W66" s="166"/>
      <c r="X66" s="166"/>
      <c r="Y66" s="166"/>
      <c r="Z66" s="166"/>
      <c r="AA66" s="166"/>
      <c r="AB66" s="166"/>
      <c r="AC66" s="166"/>
      <c r="AD66" s="167"/>
      <c r="AE66" s="161" t="str">
        <f t="shared" ca="1" si="31"/>
        <v>sny_202310_backup_mt2_shikkan_kanren</v>
      </c>
      <c r="AF66" s="162"/>
      <c r="AG66" s="162"/>
      <c r="AH66" s="162"/>
      <c r="AI66" s="162"/>
      <c r="AJ66" s="162"/>
      <c r="AK66" s="162"/>
      <c r="AL66" s="163"/>
      <c r="AM66" s="161" t="str">
        <f t="shared" ca="1" si="32"/>
        <v>疾患関連マスタテーブルから組入れ条件の第一条件で絞り込んだ結果を格納するテーブル</v>
      </c>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4"/>
      <c r="BK66" s="32" t="str">
        <f t="shared" si="16"/>
        <v>ENT_01_A4-12_バックアップ_疾患関連マスタ.sql</v>
      </c>
    </row>
    <row r="67" spans="1:64" ht="37.5" hidden="1" customHeight="1" outlineLevel="1">
      <c r="A67" s="34" t="str">
        <f t="shared" si="30"/>
        <v>バックアップ_医薬品成分関連マスタ</v>
      </c>
      <c r="B67" s="148" t="str">
        <f t="shared" si="20"/>
        <v>01</v>
      </c>
      <c r="C67" s="149"/>
      <c r="D67" s="149"/>
      <c r="E67" s="149"/>
      <c r="F67" s="150"/>
      <c r="G67" s="151" t="s">
        <v>196</v>
      </c>
      <c r="H67" s="152"/>
      <c r="I67" s="152"/>
      <c r="J67" s="152"/>
      <c r="K67" s="152"/>
      <c r="L67" s="152"/>
      <c r="M67" s="152"/>
      <c r="N67" s="153"/>
      <c r="O67" s="79" t="s">
        <v>3172</v>
      </c>
      <c r="P67" s="165" t="s">
        <v>2681</v>
      </c>
      <c r="Q67" s="166"/>
      <c r="R67" s="166"/>
      <c r="S67" s="166"/>
      <c r="T67" s="166"/>
      <c r="U67" s="166"/>
      <c r="V67" s="166"/>
      <c r="W67" s="166"/>
      <c r="X67" s="166"/>
      <c r="Y67" s="166"/>
      <c r="Z67" s="166"/>
      <c r="AA67" s="166"/>
      <c r="AB67" s="166"/>
      <c r="AC67" s="166"/>
      <c r="AD67" s="167"/>
      <c r="AE67" s="161" t="str">
        <f t="shared" ca="1" si="31"/>
        <v>sny_202310_backup_mt2_iyakuhin_seibun_kanren</v>
      </c>
      <c r="AF67" s="162"/>
      <c r="AG67" s="162"/>
      <c r="AH67" s="162"/>
      <c r="AI67" s="162"/>
      <c r="AJ67" s="162"/>
      <c r="AK67" s="162"/>
      <c r="AL67" s="163"/>
      <c r="AM67" s="161" t="str">
        <f t="shared" ca="1" si="32"/>
        <v>医薬品成分関連マスタテーブルから組入れ条件の第一条件で絞り込んだ結果を格納するテーブル</v>
      </c>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4"/>
      <c r="BK67" s="32" t="str">
        <f t="shared" si="16"/>
        <v>ENT_01_A4-13_バックアップ_医薬品成分関連マスタ.sql</v>
      </c>
    </row>
    <row r="68" spans="1:64" ht="37.5" hidden="1" customHeight="1" outlineLevel="1">
      <c r="A68" s="34" t="str">
        <f t="shared" si="30"/>
        <v>バックアップ_医薬品適用病名関連マスタ</v>
      </c>
      <c r="B68" s="148" t="str">
        <f t="shared" si="20"/>
        <v>01</v>
      </c>
      <c r="C68" s="149"/>
      <c r="D68" s="149"/>
      <c r="E68" s="149"/>
      <c r="F68" s="150"/>
      <c r="G68" s="151" t="s">
        <v>196</v>
      </c>
      <c r="H68" s="152"/>
      <c r="I68" s="152"/>
      <c r="J68" s="152"/>
      <c r="K68" s="152"/>
      <c r="L68" s="152"/>
      <c r="M68" s="152"/>
      <c r="N68" s="153"/>
      <c r="O68" s="79" t="s">
        <v>3173</v>
      </c>
      <c r="P68" s="165" t="s">
        <v>2702</v>
      </c>
      <c r="Q68" s="166"/>
      <c r="R68" s="166"/>
      <c r="S68" s="166"/>
      <c r="T68" s="166"/>
      <c r="U68" s="166"/>
      <c r="V68" s="166"/>
      <c r="W68" s="166"/>
      <c r="X68" s="166"/>
      <c r="Y68" s="166"/>
      <c r="Z68" s="166"/>
      <c r="AA68" s="166"/>
      <c r="AB68" s="166"/>
      <c r="AC68" s="166"/>
      <c r="AD68" s="167"/>
      <c r="AE68" s="161" t="str">
        <f t="shared" ca="1" si="31"/>
        <v>sny_202310_backup_mt2_iyakuhin_tekiyou_byomei_kanren</v>
      </c>
      <c r="AF68" s="162"/>
      <c r="AG68" s="162"/>
      <c r="AH68" s="162"/>
      <c r="AI68" s="162"/>
      <c r="AJ68" s="162"/>
      <c r="AK68" s="162"/>
      <c r="AL68" s="163"/>
      <c r="AM68" s="161" t="str">
        <f t="shared" ca="1" si="32"/>
        <v>医薬品適用病名関連マスタテーブルから組入れ条件の第一条件で絞り込んだ結果を格納するテーブル</v>
      </c>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4"/>
      <c r="BK68" s="32" t="str">
        <f t="shared" si="16"/>
        <v>ENT_01_A4-14_バックアップ_医薬品適用病名関連マスタ.sql</v>
      </c>
    </row>
    <row r="69" spans="1:64" ht="37.5" hidden="1" customHeight="1" outlineLevel="1">
      <c r="A69" s="34" t="str">
        <f t="shared" si="12"/>
        <v>バックアップ_MML共通</v>
      </c>
      <c r="B69" s="148" t="str">
        <f t="shared" si="20"/>
        <v>01</v>
      </c>
      <c r="C69" s="149"/>
      <c r="D69" s="149"/>
      <c r="E69" s="149"/>
      <c r="F69" s="150"/>
      <c r="G69" s="151" t="s">
        <v>196</v>
      </c>
      <c r="H69" s="152"/>
      <c r="I69" s="152"/>
      <c r="J69" s="152"/>
      <c r="K69" s="152"/>
      <c r="L69" s="152"/>
      <c r="M69" s="152"/>
      <c r="N69" s="153"/>
      <c r="O69" s="79" t="s">
        <v>3185</v>
      </c>
      <c r="P69" s="165" t="s">
        <v>3186</v>
      </c>
      <c r="Q69" s="166"/>
      <c r="R69" s="166"/>
      <c r="S69" s="166"/>
      <c r="T69" s="166"/>
      <c r="U69" s="166"/>
      <c r="V69" s="166"/>
      <c r="W69" s="166"/>
      <c r="X69" s="166"/>
      <c r="Y69" s="166"/>
      <c r="Z69" s="166"/>
      <c r="AA69" s="166"/>
      <c r="AB69" s="166"/>
      <c r="AC69" s="166"/>
      <c r="AD69" s="167"/>
      <c r="AE69" s="161" t="str">
        <f t="shared" ca="1" si="13"/>
        <v>sny_202310_backup_text_mml_common</v>
      </c>
      <c r="AF69" s="162"/>
      <c r="AG69" s="162"/>
      <c r="AH69" s="162"/>
      <c r="AI69" s="162"/>
      <c r="AJ69" s="162"/>
      <c r="AK69" s="162"/>
      <c r="AL69" s="163"/>
      <c r="AM69" s="161" t="str">
        <f t="shared" ca="1" si="14"/>
        <v>MML共通テーブルから組入れ条件の第一条件で絞り込んだ結果を格納するテーブル</v>
      </c>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4"/>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48" t="str">
        <f t="shared" si="20"/>
        <v>01</v>
      </c>
      <c r="C70" s="149"/>
      <c r="D70" s="149"/>
      <c r="E70" s="149"/>
      <c r="F70" s="150"/>
      <c r="G70" s="151" t="s">
        <v>196</v>
      </c>
      <c r="H70" s="152"/>
      <c r="I70" s="152"/>
      <c r="J70" s="152"/>
      <c r="K70" s="152"/>
      <c r="L70" s="152"/>
      <c r="M70" s="152"/>
      <c r="N70" s="153"/>
      <c r="O70" s="79" t="s">
        <v>3187</v>
      </c>
      <c r="P70" s="165" t="s">
        <v>2781</v>
      </c>
      <c r="Q70" s="166"/>
      <c r="R70" s="166"/>
      <c r="S70" s="166"/>
      <c r="T70" s="166"/>
      <c r="U70" s="166"/>
      <c r="V70" s="166"/>
      <c r="W70" s="166"/>
      <c r="X70" s="166"/>
      <c r="Y70" s="166"/>
      <c r="Z70" s="166"/>
      <c r="AA70" s="166"/>
      <c r="AB70" s="166"/>
      <c r="AC70" s="166"/>
      <c r="AD70" s="167"/>
      <c r="AE70" s="161" t="str">
        <f t="shared" ref="AE70" ca="1" si="34">IFERROR(INDIRECT(P70&amp;"!D8"),"")</f>
        <v>sny_202310_backup_text_mml_mmlrd_body</v>
      </c>
      <c r="AF70" s="162"/>
      <c r="AG70" s="162"/>
      <c r="AH70" s="162"/>
      <c r="AI70" s="162"/>
      <c r="AJ70" s="162"/>
      <c r="AK70" s="162"/>
      <c r="AL70" s="163"/>
      <c r="AM70" s="161" t="str">
        <f t="shared" ref="AM70" ca="1" si="35">IFERROR(INDIRECT(P70&amp;"!D9"),"")</f>
        <v>MML_診断履歴情報モジュール_本文テーブルから組入れ条件の第一条件で絞り込んだ結果を格納するテーブル</v>
      </c>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4"/>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48" t="str">
        <f t="shared" si="20"/>
        <v>01</v>
      </c>
      <c r="C71" s="149"/>
      <c r="D71" s="149"/>
      <c r="E71" s="149"/>
      <c r="F71" s="150"/>
      <c r="G71" s="151" t="s">
        <v>196</v>
      </c>
      <c r="H71" s="152"/>
      <c r="I71" s="152"/>
      <c r="J71" s="152"/>
      <c r="K71" s="152"/>
      <c r="L71" s="152"/>
      <c r="M71" s="152"/>
      <c r="N71" s="153"/>
      <c r="O71" s="79" t="s">
        <v>3188</v>
      </c>
      <c r="P71" s="165" t="s">
        <v>2797</v>
      </c>
      <c r="Q71" s="166"/>
      <c r="R71" s="166"/>
      <c r="S71" s="166"/>
      <c r="T71" s="166"/>
      <c r="U71" s="166"/>
      <c r="V71" s="166"/>
      <c r="W71" s="166"/>
      <c r="X71" s="166"/>
      <c r="Y71" s="166"/>
      <c r="Z71" s="166"/>
      <c r="AA71" s="166"/>
      <c r="AB71" s="166"/>
      <c r="AC71" s="166"/>
      <c r="AD71" s="167"/>
      <c r="AE71" s="161" t="str">
        <f t="shared" ca="1" si="13"/>
        <v>sny_202310_backup_text_mml_mmlrd_byomei</v>
      </c>
      <c r="AF71" s="162"/>
      <c r="AG71" s="162"/>
      <c r="AH71" s="162"/>
      <c r="AI71" s="162"/>
      <c r="AJ71" s="162"/>
      <c r="AK71" s="162"/>
      <c r="AL71" s="163"/>
      <c r="AM71" s="161" t="str">
        <f t="shared" ca="1" si="14"/>
        <v>MML_診断履歴情報モジュール_病名テーブルから組入れ条件の第一条件で絞り込んだ結果を格納するテーブル</v>
      </c>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4"/>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48" t="str">
        <f t="shared" si="20"/>
        <v>01</v>
      </c>
      <c r="C72" s="149"/>
      <c r="D72" s="149"/>
      <c r="E72" s="149"/>
      <c r="F72" s="150"/>
      <c r="G72" s="151" t="s">
        <v>196</v>
      </c>
      <c r="H72" s="152"/>
      <c r="I72" s="152"/>
      <c r="J72" s="152"/>
      <c r="K72" s="152"/>
      <c r="L72" s="152"/>
      <c r="M72" s="152"/>
      <c r="N72" s="153"/>
      <c r="O72" s="79" t="s">
        <v>3189</v>
      </c>
      <c r="P72" s="165" t="s">
        <v>2808</v>
      </c>
      <c r="Q72" s="166"/>
      <c r="R72" s="166"/>
      <c r="S72" s="166"/>
      <c r="T72" s="166"/>
      <c r="U72" s="166"/>
      <c r="V72" s="166"/>
      <c r="W72" s="166"/>
      <c r="X72" s="166"/>
      <c r="Y72" s="166"/>
      <c r="Z72" s="166"/>
      <c r="AA72" s="166"/>
      <c r="AB72" s="166"/>
      <c r="AC72" s="166"/>
      <c r="AD72" s="167"/>
      <c r="AE72" s="161" t="str">
        <f t="shared" ref="AE72:AE104" ca="1" si="37">IFERROR(INDIRECT(P72&amp;"!D8"),"")</f>
        <v>sny_202310_backup_text_mml_mmlrd_category</v>
      </c>
      <c r="AF72" s="162"/>
      <c r="AG72" s="162"/>
      <c r="AH72" s="162"/>
      <c r="AI72" s="162"/>
      <c r="AJ72" s="162"/>
      <c r="AK72" s="162"/>
      <c r="AL72" s="163"/>
      <c r="AM72" s="161" t="str">
        <f t="shared" ref="AM72:AM104" ca="1" si="38">IFERROR(INDIRECT(P72&amp;"!D9"),"")</f>
        <v>MML_診断履歴情報モジュール_カテゴリ名テーブルから組入れ条件の第一条件で絞り込んだ結果を格納するテーブル</v>
      </c>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4"/>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48" t="str">
        <f t="shared" si="20"/>
        <v>01</v>
      </c>
      <c r="C73" s="149"/>
      <c r="D73" s="149"/>
      <c r="E73" s="149"/>
      <c r="F73" s="150"/>
      <c r="G73" s="151" t="s">
        <v>196</v>
      </c>
      <c r="H73" s="152"/>
      <c r="I73" s="152"/>
      <c r="J73" s="152"/>
      <c r="K73" s="152"/>
      <c r="L73" s="152"/>
      <c r="M73" s="152"/>
      <c r="N73" s="153"/>
      <c r="O73" s="79" t="s">
        <v>3863</v>
      </c>
      <c r="P73" s="165" t="s">
        <v>3859</v>
      </c>
      <c r="Q73" s="166"/>
      <c r="R73" s="166"/>
      <c r="S73" s="166"/>
      <c r="T73" s="166"/>
      <c r="U73" s="166"/>
      <c r="V73" s="166"/>
      <c r="W73" s="166"/>
      <c r="X73" s="166"/>
      <c r="Y73" s="166"/>
      <c r="Z73" s="166"/>
      <c r="AA73" s="166"/>
      <c r="AB73" s="166"/>
      <c r="AC73" s="166"/>
      <c r="AD73" s="167"/>
      <c r="AE73" s="161" t="str">
        <f t="shared" ref="AE73:AE78" ca="1" si="40">IFERROR(INDIRECT(P73&amp;"!D8"),"")</f>
        <v>sny_202310_backup_text_mml_mmllb_body</v>
      </c>
      <c r="AF73" s="162"/>
      <c r="AG73" s="162"/>
      <c r="AH73" s="162"/>
      <c r="AI73" s="162"/>
      <c r="AJ73" s="162"/>
      <c r="AK73" s="162"/>
      <c r="AL73" s="163"/>
      <c r="AM73" s="161" t="str">
        <f t="shared" ref="AM73:AM78" ca="1" si="41">IFERROR(INDIRECT(P73&amp;"!D9"),"")</f>
        <v>MML_検歴情報モジュール_本文テーブルから組入れ条件の第一条件で絞り込んだ結果を格納するテーブル</v>
      </c>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4"/>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48" t="str">
        <f t="shared" si="20"/>
        <v>01</v>
      </c>
      <c r="C74" s="149"/>
      <c r="D74" s="149"/>
      <c r="E74" s="149"/>
      <c r="F74" s="150"/>
      <c r="G74" s="151" t="s">
        <v>196</v>
      </c>
      <c r="H74" s="152"/>
      <c r="I74" s="152"/>
      <c r="J74" s="152"/>
      <c r="K74" s="152"/>
      <c r="L74" s="152"/>
      <c r="M74" s="152"/>
      <c r="N74" s="153"/>
      <c r="O74" s="79" t="s">
        <v>3864</v>
      </c>
      <c r="P74" s="165" t="s">
        <v>3860</v>
      </c>
      <c r="Q74" s="166"/>
      <c r="R74" s="166"/>
      <c r="S74" s="166"/>
      <c r="T74" s="166"/>
      <c r="U74" s="166"/>
      <c r="V74" s="166"/>
      <c r="W74" s="166"/>
      <c r="X74" s="166"/>
      <c r="Y74" s="166"/>
      <c r="Z74" s="166"/>
      <c r="AA74" s="166"/>
      <c r="AB74" s="166"/>
      <c r="AC74" s="166"/>
      <c r="AD74" s="167"/>
      <c r="AE74" s="161" t="str">
        <f t="shared" ca="1" si="40"/>
        <v>sny_202310_backup_text_mml_mmllb_memo</v>
      </c>
      <c r="AF74" s="162"/>
      <c r="AG74" s="162"/>
      <c r="AH74" s="162"/>
      <c r="AI74" s="162"/>
      <c r="AJ74" s="162"/>
      <c r="AK74" s="162"/>
      <c r="AL74" s="163"/>
      <c r="AM74" s="161" t="str">
        <f t="shared" ca="1" si="41"/>
        <v>MML_検歴情報モジュール_報告コメントテーブルから組入れ条件の第一条件で絞り込んだ結果を格納するテーブル</v>
      </c>
      <c r="AN74" s="162"/>
      <c r="AO74" s="162"/>
      <c r="AP74" s="162"/>
      <c r="AQ74" s="162"/>
      <c r="AR74" s="162"/>
      <c r="AS74" s="162"/>
      <c r="AT74" s="162"/>
      <c r="AU74" s="162"/>
      <c r="AV74" s="162"/>
      <c r="AW74" s="162"/>
      <c r="AX74" s="162"/>
      <c r="AY74" s="162"/>
      <c r="AZ74" s="162"/>
      <c r="BA74" s="162"/>
      <c r="BB74" s="162"/>
      <c r="BC74" s="162"/>
      <c r="BD74" s="162"/>
      <c r="BE74" s="162"/>
      <c r="BF74" s="162"/>
      <c r="BG74" s="162"/>
      <c r="BH74" s="162"/>
      <c r="BI74" s="162"/>
      <c r="BJ74" s="164"/>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48" t="str">
        <f t="shared" si="20"/>
        <v>01</v>
      </c>
      <c r="C75" s="149"/>
      <c r="D75" s="149"/>
      <c r="E75" s="149"/>
      <c r="F75" s="150"/>
      <c r="G75" s="151" t="s">
        <v>196</v>
      </c>
      <c r="H75" s="152"/>
      <c r="I75" s="152"/>
      <c r="J75" s="152"/>
      <c r="K75" s="152"/>
      <c r="L75" s="152"/>
      <c r="M75" s="152"/>
      <c r="N75" s="153"/>
      <c r="O75" s="79" t="s">
        <v>3865</v>
      </c>
      <c r="P75" s="165" t="s">
        <v>3861</v>
      </c>
      <c r="Q75" s="166"/>
      <c r="R75" s="166"/>
      <c r="S75" s="166"/>
      <c r="T75" s="166"/>
      <c r="U75" s="166"/>
      <c r="V75" s="166"/>
      <c r="W75" s="166"/>
      <c r="X75" s="166"/>
      <c r="Y75" s="166"/>
      <c r="Z75" s="166"/>
      <c r="AA75" s="166"/>
      <c r="AB75" s="166"/>
      <c r="AC75" s="166"/>
      <c r="AD75" s="167"/>
      <c r="AE75" s="161" t="str">
        <f t="shared" ca="1" si="40"/>
        <v>sny_202310_backup_text_mml_mmllb_labo_test</v>
      </c>
      <c r="AF75" s="162"/>
      <c r="AG75" s="162"/>
      <c r="AH75" s="162"/>
      <c r="AI75" s="162"/>
      <c r="AJ75" s="162"/>
      <c r="AK75" s="162"/>
      <c r="AL75" s="163"/>
      <c r="AM75" s="161" t="str">
        <f t="shared" ca="1" si="41"/>
        <v>MML_検歴情報モジュール_検体検査結果情報テーブルから組入れ条件の第一条件で絞り込んだ結果を格納するテーブル</v>
      </c>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4"/>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48" t="str">
        <f t="shared" si="20"/>
        <v>01</v>
      </c>
      <c r="C76" s="149"/>
      <c r="D76" s="149"/>
      <c r="E76" s="149"/>
      <c r="F76" s="150"/>
      <c r="G76" s="151" t="s">
        <v>196</v>
      </c>
      <c r="H76" s="152"/>
      <c r="I76" s="152"/>
      <c r="J76" s="152"/>
      <c r="K76" s="152"/>
      <c r="L76" s="152"/>
      <c r="M76" s="152"/>
      <c r="N76" s="153"/>
      <c r="O76" s="79" t="s">
        <v>3866</v>
      </c>
      <c r="P76" s="165" t="s">
        <v>3862</v>
      </c>
      <c r="Q76" s="166"/>
      <c r="R76" s="166"/>
      <c r="S76" s="166"/>
      <c r="T76" s="166"/>
      <c r="U76" s="166"/>
      <c r="V76" s="166"/>
      <c r="W76" s="166"/>
      <c r="X76" s="166"/>
      <c r="Y76" s="166"/>
      <c r="Z76" s="166"/>
      <c r="AA76" s="166"/>
      <c r="AB76" s="166"/>
      <c r="AC76" s="166"/>
      <c r="AD76" s="167"/>
      <c r="AE76" s="161" t="str">
        <f t="shared" ca="1" si="40"/>
        <v>sny_202310_backup_text_mml_mmllb_spc_memo</v>
      </c>
      <c r="AF76" s="162"/>
      <c r="AG76" s="162"/>
      <c r="AH76" s="162"/>
      <c r="AI76" s="162"/>
      <c r="AJ76" s="162"/>
      <c r="AK76" s="162"/>
      <c r="AL76" s="163"/>
      <c r="AM76" s="161" t="str">
        <f t="shared" ca="1" si="41"/>
        <v>MML_検歴情報モジュール_検体コメントテーブルから組入れ条件の第一条件で絞り込んだ結果を格納するテーブル</v>
      </c>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4"/>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48" t="str">
        <f t="shared" si="20"/>
        <v>01</v>
      </c>
      <c r="C77" s="149"/>
      <c r="D77" s="149"/>
      <c r="E77" s="149"/>
      <c r="F77" s="150"/>
      <c r="G77" s="151" t="s">
        <v>196</v>
      </c>
      <c r="H77" s="152"/>
      <c r="I77" s="152"/>
      <c r="J77" s="152"/>
      <c r="K77" s="152"/>
      <c r="L77" s="152"/>
      <c r="M77" s="152"/>
      <c r="N77" s="153"/>
      <c r="O77" s="79" t="s">
        <v>3867</v>
      </c>
      <c r="P77" s="165" t="s">
        <v>3921</v>
      </c>
      <c r="Q77" s="166"/>
      <c r="R77" s="166"/>
      <c r="S77" s="166"/>
      <c r="T77" s="166"/>
      <c r="U77" s="166"/>
      <c r="V77" s="166"/>
      <c r="W77" s="166"/>
      <c r="X77" s="166"/>
      <c r="Y77" s="166"/>
      <c r="Z77" s="166"/>
      <c r="AA77" s="166"/>
      <c r="AB77" s="166"/>
      <c r="AC77" s="166"/>
      <c r="AD77" s="167"/>
      <c r="AE77" s="161" t="str">
        <f t="shared" ca="1" si="40"/>
        <v>sny_202310_backup_text_mml_mmllb_item</v>
      </c>
      <c r="AF77" s="162"/>
      <c r="AG77" s="162"/>
      <c r="AH77" s="162"/>
      <c r="AI77" s="162"/>
      <c r="AJ77" s="162"/>
      <c r="AK77" s="162"/>
      <c r="AL77" s="163"/>
      <c r="AM77" s="161" t="str">
        <f t="shared" ca="1" si="41"/>
        <v>MML_検歴情報モジュール_検査項目テーブルから組入れ条件の第一条件で絞り込んだ結果を格納するテーブル</v>
      </c>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4"/>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48" t="str">
        <f t="shared" si="20"/>
        <v>01</v>
      </c>
      <c r="C78" s="149"/>
      <c r="D78" s="149"/>
      <c r="E78" s="149"/>
      <c r="F78" s="150"/>
      <c r="G78" s="151" t="s">
        <v>196</v>
      </c>
      <c r="H78" s="152"/>
      <c r="I78" s="152"/>
      <c r="J78" s="152"/>
      <c r="K78" s="152"/>
      <c r="L78" s="152"/>
      <c r="M78" s="152"/>
      <c r="N78" s="153"/>
      <c r="O78" s="79" t="s">
        <v>3868</v>
      </c>
      <c r="P78" s="165" t="s">
        <v>3922</v>
      </c>
      <c r="Q78" s="166"/>
      <c r="R78" s="166"/>
      <c r="S78" s="166"/>
      <c r="T78" s="166"/>
      <c r="U78" s="166"/>
      <c r="V78" s="166"/>
      <c r="W78" s="166"/>
      <c r="X78" s="166"/>
      <c r="Y78" s="166"/>
      <c r="Z78" s="166"/>
      <c r="AA78" s="166"/>
      <c r="AB78" s="166"/>
      <c r="AC78" s="166"/>
      <c r="AD78" s="167"/>
      <c r="AE78" s="161" t="str">
        <f t="shared" ca="1" si="40"/>
        <v>sny_202310_backup_text_mml_mmllb_item_memo</v>
      </c>
      <c r="AF78" s="162"/>
      <c r="AG78" s="162"/>
      <c r="AH78" s="162"/>
      <c r="AI78" s="162"/>
      <c r="AJ78" s="162"/>
      <c r="AK78" s="162"/>
      <c r="AL78" s="163"/>
      <c r="AM78" s="161" t="str">
        <f t="shared" ca="1" si="41"/>
        <v>MML_検歴情報モジュール_検査項目コメントテーブルから組入れ条件の第一条件で絞り込んだ結果を格納するテーブル</v>
      </c>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4"/>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48" t="str">
        <f t="shared" si="20"/>
        <v>01</v>
      </c>
      <c r="C79" s="149"/>
      <c r="D79" s="149"/>
      <c r="E79" s="149"/>
      <c r="F79" s="150"/>
      <c r="G79" s="151" t="s">
        <v>196</v>
      </c>
      <c r="H79" s="152"/>
      <c r="I79" s="152"/>
      <c r="J79" s="152"/>
      <c r="K79" s="152"/>
      <c r="L79" s="152"/>
      <c r="M79" s="152"/>
      <c r="N79" s="153"/>
      <c r="O79" s="79" t="s">
        <v>3190</v>
      </c>
      <c r="P79" s="165" t="s">
        <v>2813</v>
      </c>
      <c r="Q79" s="166"/>
      <c r="R79" s="166"/>
      <c r="S79" s="166"/>
      <c r="T79" s="166"/>
      <c r="U79" s="166"/>
      <c r="V79" s="166"/>
      <c r="W79" s="166"/>
      <c r="X79" s="166"/>
      <c r="Y79" s="166"/>
      <c r="Z79" s="166"/>
      <c r="AA79" s="166"/>
      <c r="AB79" s="166"/>
      <c r="AC79" s="166"/>
      <c r="AD79" s="167"/>
      <c r="AE79" s="161" t="str">
        <f t="shared" ca="1" si="37"/>
        <v>sny_202310_backup_text_mml_mmlps_body</v>
      </c>
      <c r="AF79" s="162"/>
      <c r="AG79" s="162"/>
      <c r="AH79" s="162"/>
      <c r="AI79" s="162"/>
      <c r="AJ79" s="162"/>
      <c r="AK79" s="162"/>
      <c r="AL79" s="163"/>
      <c r="AM79" s="161" t="str">
        <f t="shared" ca="1" si="38"/>
        <v>MML_処方箋モジュール_本文テーブルから組入れ条件の第一条件で絞り込んだ結果を格納するテーブル</v>
      </c>
      <c r="AN79" s="162"/>
      <c r="AO79" s="162"/>
      <c r="AP79" s="162"/>
      <c r="AQ79" s="162"/>
      <c r="AR79" s="162"/>
      <c r="AS79" s="162"/>
      <c r="AT79" s="162"/>
      <c r="AU79" s="162"/>
      <c r="AV79" s="162"/>
      <c r="AW79" s="162"/>
      <c r="AX79" s="162"/>
      <c r="AY79" s="162"/>
      <c r="AZ79" s="162"/>
      <c r="BA79" s="162"/>
      <c r="BB79" s="162"/>
      <c r="BC79" s="162"/>
      <c r="BD79" s="162"/>
      <c r="BE79" s="162"/>
      <c r="BF79" s="162"/>
      <c r="BG79" s="162"/>
      <c r="BH79" s="162"/>
      <c r="BI79" s="162"/>
      <c r="BJ79" s="164"/>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48" t="str">
        <f t="shared" si="20"/>
        <v>01</v>
      </c>
      <c r="C80" s="149"/>
      <c r="D80" s="149"/>
      <c r="E80" s="149"/>
      <c r="F80" s="150"/>
      <c r="G80" s="151" t="s">
        <v>196</v>
      </c>
      <c r="H80" s="152"/>
      <c r="I80" s="152"/>
      <c r="J80" s="152"/>
      <c r="K80" s="152"/>
      <c r="L80" s="152"/>
      <c r="M80" s="152"/>
      <c r="N80" s="153"/>
      <c r="O80" s="79" t="s">
        <v>3191</v>
      </c>
      <c r="P80" s="165" t="s">
        <v>2821</v>
      </c>
      <c r="Q80" s="166"/>
      <c r="R80" s="166"/>
      <c r="S80" s="166"/>
      <c r="T80" s="166"/>
      <c r="U80" s="166"/>
      <c r="V80" s="166"/>
      <c r="W80" s="166"/>
      <c r="X80" s="166"/>
      <c r="Y80" s="166"/>
      <c r="Z80" s="166"/>
      <c r="AA80" s="166"/>
      <c r="AB80" s="166"/>
      <c r="AC80" s="166"/>
      <c r="AD80" s="167"/>
      <c r="AE80" s="161" t="str">
        <f t="shared" ca="1" si="37"/>
        <v>sny_202310_backup_text_mml_mmlps_medication</v>
      </c>
      <c r="AF80" s="162"/>
      <c r="AG80" s="162"/>
      <c r="AH80" s="162"/>
      <c r="AI80" s="162"/>
      <c r="AJ80" s="162"/>
      <c r="AK80" s="162"/>
      <c r="AL80" s="163"/>
      <c r="AM80" s="161" t="str">
        <f t="shared" ca="1" si="38"/>
        <v>MML_処方箋モジュール_投薬テーブルから組入れ条件の第一条件で絞り込んだ結果を格納するテーブル</v>
      </c>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4"/>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48" t="str">
        <f t="shared" si="20"/>
        <v>01</v>
      </c>
      <c r="C81" s="149"/>
      <c r="D81" s="149"/>
      <c r="E81" s="149"/>
      <c r="F81" s="150"/>
      <c r="G81" s="151" t="s">
        <v>196</v>
      </c>
      <c r="H81" s="152"/>
      <c r="I81" s="152"/>
      <c r="J81" s="152"/>
      <c r="K81" s="152"/>
      <c r="L81" s="152"/>
      <c r="M81" s="152"/>
      <c r="N81" s="153"/>
      <c r="O81" s="79" t="s">
        <v>3192</v>
      </c>
      <c r="P81" s="165" t="s">
        <v>2857</v>
      </c>
      <c r="Q81" s="166"/>
      <c r="R81" s="166"/>
      <c r="S81" s="166"/>
      <c r="T81" s="166"/>
      <c r="U81" s="166"/>
      <c r="V81" s="166"/>
      <c r="W81" s="166"/>
      <c r="X81" s="166"/>
      <c r="Y81" s="166"/>
      <c r="Z81" s="166"/>
      <c r="AA81" s="166"/>
      <c r="AB81" s="166"/>
      <c r="AC81" s="166"/>
      <c r="AD81" s="167"/>
      <c r="AE81" s="161" t="str">
        <f t="shared" ca="1" si="37"/>
        <v>sny_202310_backup_text_mml_mmlps_medicine</v>
      </c>
      <c r="AF81" s="162"/>
      <c r="AG81" s="162"/>
      <c r="AH81" s="162"/>
      <c r="AI81" s="162"/>
      <c r="AJ81" s="162"/>
      <c r="AK81" s="162"/>
      <c r="AL81" s="163"/>
      <c r="AM81" s="161" t="str">
        <f t="shared" ca="1" si="38"/>
        <v>MML_処方箋モジュール_薬剤テーブルから組入れ条件の第一条件で絞り込んだ結果を格納するテーブル</v>
      </c>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4"/>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48" t="str">
        <f t="shared" si="20"/>
        <v>01</v>
      </c>
      <c r="C82" s="149"/>
      <c r="D82" s="149"/>
      <c r="E82" s="149"/>
      <c r="F82" s="150"/>
      <c r="G82" s="151" t="s">
        <v>196</v>
      </c>
      <c r="H82" s="152"/>
      <c r="I82" s="152"/>
      <c r="J82" s="152"/>
      <c r="K82" s="152"/>
      <c r="L82" s="152"/>
      <c r="M82" s="152"/>
      <c r="N82" s="153"/>
      <c r="O82" s="79" t="s">
        <v>3193</v>
      </c>
      <c r="P82" s="165" t="s">
        <v>2862</v>
      </c>
      <c r="Q82" s="166"/>
      <c r="R82" s="166"/>
      <c r="S82" s="166"/>
      <c r="T82" s="166"/>
      <c r="U82" s="166"/>
      <c r="V82" s="166"/>
      <c r="W82" s="166"/>
      <c r="X82" s="166"/>
      <c r="Y82" s="166"/>
      <c r="Z82" s="166"/>
      <c r="AA82" s="166"/>
      <c r="AB82" s="166"/>
      <c r="AC82" s="166"/>
      <c r="AD82" s="167"/>
      <c r="AE82" s="161" t="str">
        <f t="shared" ca="1" si="37"/>
        <v>sny_202310_backup_text_mml_mmlinj_body</v>
      </c>
      <c r="AF82" s="162"/>
      <c r="AG82" s="162"/>
      <c r="AH82" s="162"/>
      <c r="AI82" s="162"/>
      <c r="AJ82" s="162"/>
      <c r="AK82" s="162"/>
      <c r="AL82" s="163"/>
      <c r="AM82" s="161" t="str">
        <f t="shared" ca="1" si="38"/>
        <v>MML_注射記録モジュール_本文テーブルから組入れ条件の第一条件で絞り込んだ結果を格納するテーブル</v>
      </c>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4"/>
      <c r="BK82" s="32" t="str">
        <f t="shared" si="16"/>
        <v>ENT_01_A6-27_バックアップ_MML_注射記録モジュール_本文.sql</v>
      </c>
    </row>
    <row r="83" spans="1:64" ht="37.5" hidden="1" customHeight="1" outlineLevel="1">
      <c r="A83" s="34" t="str">
        <f t="shared" si="36"/>
        <v>バックアップ_MML_注射記録モジュール_投薬</v>
      </c>
      <c r="B83" s="148" t="str">
        <f t="shared" si="20"/>
        <v>01</v>
      </c>
      <c r="C83" s="149"/>
      <c r="D83" s="149"/>
      <c r="E83" s="149"/>
      <c r="F83" s="150"/>
      <c r="G83" s="151" t="s">
        <v>196</v>
      </c>
      <c r="H83" s="152"/>
      <c r="I83" s="152"/>
      <c r="J83" s="152"/>
      <c r="K83" s="152"/>
      <c r="L83" s="152"/>
      <c r="M83" s="152"/>
      <c r="N83" s="153"/>
      <c r="O83" s="79" t="s">
        <v>3194</v>
      </c>
      <c r="P83" s="165" t="s">
        <v>2871</v>
      </c>
      <c r="Q83" s="166"/>
      <c r="R83" s="166"/>
      <c r="S83" s="166"/>
      <c r="T83" s="166"/>
      <c r="U83" s="166"/>
      <c r="V83" s="166"/>
      <c r="W83" s="166"/>
      <c r="X83" s="166"/>
      <c r="Y83" s="166"/>
      <c r="Z83" s="166"/>
      <c r="AA83" s="166"/>
      <c r="AB83" s="166"/>
      <c r="AC83" s="166"/>
      <c r="AD83" s="167"/>
      <c r="AE83" s="161" t="str">
        <f t="shared" ca="1" si="37"/>
        <v>sny_202310_backup_text_mml_mmlinj_medication</v>
      </c>
      <c r="AF83" s="162"/>
      <c r="AG83" s="162"/>
      <c r="AH83" s="162"/>
      <c r="AI83" s="162"/>
      <c r="AJ83" s="162"/>
      <c r="AK83" s="162"/>
      <c r="AL83" s="163"/>
      <c r="AM83" s="161" t="str">
        <f t="shared" ca="1" si="38"/>
        <v>MML_注射記録モジュール_投薬テーブルから組入れ条件の第一条件で絞り込んだ結果を格納するテーブル</v>
      </c>
      <c r="AN83" s="162"/>
      <c r="AO83" s="162"/>
      <c r="AP83" s="162"/>
      <c r="AQ83" s="162"/>
      <c r="AR83" s="162"/>
      <c r="AS83" s="162"/>
      <c r="AT83" s="162"/>
      <c r="AU83" s="162"/>
      <c r="AV83" s="162"/>
      <c r="AW83" s="162"/>
      <c r="AX83" s="162"/>
      <c r="AY83" s="162"/>
      <c r="AZ83" s="162"/>
      <c r="BA83" s="162"/>
      <c r="BB83" s="162"/>
      <c r="BC83" s="162"/>
      <c r="BD83" s="162"/>
      <c r="BE83" s="162"/>
      <c r="BF83" s="162"/>
      <c r="BG83" s="162"/>
      <c r="BH83" s="162"/>
      <c r="BI83" s="162"/>
      <c r="BJ83" s="164"/>
      <c r="BK83" s="32" t="str">
        <f t="shared" si="16"/>
        <v>ENT_01_A6-28_バックアップ_MML_注射記録モジュール_投薬.sql</v>
      </c>
    </row>
    <row r="84" spans="1:64" ht="37.5" hidden="1" customHeight="1" outlineLevel="1">
      <c r="A84" s="34" t="str">
        <f t="shared" si="36"/>
        <v>バックアップ_MML_注射記録モジュール_薬剤</v>
      </c>
      <c r="B84" s="148" t="str">
        <f t="shared" si="20"/>
        <v>01</v>
      </c>
      <c r="C84" s="149"/>
      <c r="D84" s="149"/>
      <c r="E84" s="149"/>
      <c r="F84" s="150"/>
      <c r="G84" s="151" t="s">
        <v>196</v>
      </c>
      <c r="H84" s="152"/>
      <c r="I84" s="152"/>
      <c r="J84" s="152"/>
      <c r="K84" s="152"/>
      <c r="L84" s="152"/>
      <c r="M84" s="152"/>
      <c r="N84" s="153"/>
      <c r="O84" s="79" t="s">
        <v>3195</v>
      </c>
      <c r="P84" s="165" t="s">
        <v>2872</v>
      </c>
      <c r="Q84" s="166"/>
      <c r="R84" s="166"/>
      <c r="S84" s="166"/>
      <c r="T84" s="166"/>
      <c r="U84" s="166"/>
      <c r="V84" s="166"/>
      <c r="W84" s="166"/>
      <c r="X84" s="166"/>
      <c r="Y84" s="166"/>
      <c r="Z84" s="166"/>
      <c r="AA84" s="166"/>
      <c r="AB84" s="166"/>
      <c r="AC84" s="166"/>
      <c r="AD84" s="167"/>
      <c r="AE84" s="161" t="str">
        <f t="shared" ca="1" si="37"/>
        <v>sny_202310_backup_text_mml_mmlinj_medicine</v>
      </c>
      <c r="AF84" s="162"/>
      <c r="AG84" s="162"/>
      <c r="AH84" s="162"/>
      <c r="AI84" s="162"/>
      <c r="AJ84" s="162"/>
      <c r="AK84" s="162"/>
      <c r="AL84" s="163"/>
      <c r="AM84" s="161" t="str">
        <f t="shared" ca="1" si="38"/>
        <v>MML_注射記録モジュール_薬剤テーブルから組入れ条件の第一条件で絞り込んだ結果を格納するテーブル</v>
      </c>
      <c r="AN84" s="162"/>
      <c r="AO84" s="162"/>
      <c r="AP84" s="162"/>
      <c r="AQ84" s="162"/>
      <c r="AR84" s="162"/>
      <c r="AS84" s="162"/>
      <c r="AT84" s="162"/>
      <c r="AU84" s="162"/>
      <c r="AV84" s="162"/>
      <c r="AW84" s="162"/>
      <c r="AX84" s="162"/>
      <c r="AY84" s="162"/>
      <c r="AZ84" s="162"/>
      <c r="BA84" s="162"/>
      <c r="BB84" s="162"/>
      <c r="BC84" s="162"/>
      <c r="BD84" s="162"/>
      <c r="BE84" s="162"/>
      <c r="BF84" s="162"/>
      <c r="BG84" s="162"/>
      <c r="BH84" s="162"/>
      <c r="BI84" s="162"/>
      <c r="BJ84" s="164"/>
      <c r="BK84" s="32" t="str">
        <f t="shared" ref="BK84:BK228"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48" t="str">
        <f t="shared" si="20"/>
        <v>01</v>
      </c>
      <c r="C85" s="149"/>
      <c r="D85" s="149"/>
      <c r="E85" s="149"/>
      <c r="F85" s="150"/>
      <c r="G85" s="151" t="s">
        <v>196</v>
      </c>
      <c r="H85" s="152"/>
      <c r="I85" s="152"/>
      <c r="J85" s="152"/>
      <c r="K85" s="152"/>
      <c r="L85" s="152"/>
      <c r="M85" s="152"/>
      <c r="N85" s="153"/>
      <c r="O85" s="79" t="s">
        <v>3196</v>
      </c>
      <c r="P85" s="165" t="s">
        <v>2873</v>
      </c>
      <c r="Q85" s="166"/>
      <c r="R85" s="166"/>
      <c r="S85" s="166"/>
      <c r="T85" s="166"/>
      <c r="U85" s="166"/>
      <c r="V85" s="166"/>
      <c r="W85" s="166"/>
      <c r="X85" s="166"/>
      <c r="Y85" s="166"/>
      <c r="Z85" s="166"/>
      <c r="AA85" s="166"/>
      <c r="AB85" s="166"/>
      <c r="AC85" s="166"/>
      <c r="AD85" s="167"/>
      <c r="AE85" s="161" t="str">
        <f t="shared" ref="AE85:AE92" ca="1" si="45">IFERROR(INDIRECT(P85&amp;"!D8"),"")</f>
        <v>sny_202310_backup_text_mml_mmlsg_surgery_item</v>
      </c>
      <c r="AF85" s="162"/>
      <c r="AG85" s="162"/>
      <c r="AH85" s="162"/>
      <c r="AI85" s="162"/>
      <c r="AJ85" s="162"/>
      <c r="AK85" s="162"/>
      <c r="AL85" s="163"/>
      <c r="AM85" s="161" t="str">
        <f t="shared" ref="AM85:AM92" ca="1" si="46">IFERROR(INDIRECT(P85&amp;"!D9"),"")</f>
        <v>MML_手術モジュール_手術項目テーブルから組入れ条件の第一条件で絞り込んだ結果を格納するテーブル</v>
      </c>
      <c r="AN85" s="162"/>
      <c r="AO85" s="162"/>
      <c r="AP85" s="162"/>
      <c r="AQ85" s="162"/>
      <c r="AR85" s="162"/>
      <c r="AS85" s="162"/>
      <c r="AT85" s="162"/>
      <c r="AU85" s="162"/>
      <c r="AV85" s="162"/>
      <c r="AW85" s="162"/>
      <c r="AX85" s="162"/>
      <c r="AY85" s="162"/>
      <c r="AZ85" s="162"/>
      <c r="BA85" s="162"/>
      <c r="BB85" s="162"/>
      <c r="BC85" s="162"/>
      <c r="BD85" s="162"/>
      <c r="BE85" s="162"/>
      <c r="BF85" s="162"/>
      <c r="BG85" s="162"/>
      <c r="BH85" s="162"/>
      <c r="BI85" s="162"/>
      <c r="BJ85" s="164"/>
      <c r="BK85" s="32" t="str">
        <f t="shared" si="43"/>
        <v>ENT_01_A6-42_バックアップ_MML_手術モジュール_手術項目.sql</v>
      </c>
    </row>
    <row r="86" spans="1:64" ht="37.5" hidden="1" customHeight="1" outlineLevel="1">
      <c r="A86" s="34" t="str">
        <f t="shared" si="44"/>
        <v>バックアップ_MML_手術モジュール_診療科情報</v>
      </c>
      <c r="B86" s="148" t="str">
        <f t="shared" si="20"/>
        <v>01</v>
      </c>
      <c r="C86" s="149"/>
      <c r="D86" s="149"/>
      <c r="E86" s="149"/>
      <c r="F86" s="150"/>
      <c r="G86" s="151" t="s">
        <v>196</v>
      </c>
      <c r="H86" s="152"/>
      <c r="I86" s="152"/>
      <c r="J86" s="152"/>
      <c r="K86" s="152"/>
      <c r="L86" s="152"/>
      <c r="M86" s="152"/>
      <c r="N86" s="153"/>
      <c r="O86" s="79" t="s">
        <v>3197</v>
      </c>
      <c r="P86" s="165" t="s">
        <v>2892</v>
      </c>
      <c r="Q86" s="166"/>
      <c r="R86" s="166"/>
      <c r="S86" s="166"/>
      <c r="T86" s="166"/>
      <c r="U86" s="166"/>
      <c r="V86" s="166"/>
      <c r="W86" s="166"/>
      <c r="X86" s="166"/>
      <c r="Y86" s="166"/>
      <c r="Z86" s="166"/>
      <c r="AA86" s="166"/>
      <c r="AB86" s="166"/>
      <c r="AC86" s="166"/>
      <c r="AD86" s="167"/>
      <c r="AE86" s="161" t="str">
        <f t="shared" ca="1" si="45"/>
        <v>sny_202310_backup_text_mml_mmlsg_dp</v>
      </c>
      <c r="AF86" s="162"/>
      <c r="AG86" s="162"/>
      <c r="AH86" s="162"/>
      <c r="AI86" s="162"/>
      <c r="AJ86" s="162"/>
      <c r="AK86" s="162"/>
      <c r="AL86" s="163"/>
      <c r="AM86" s="161" t="str">
        <f t="shared" ca="1" si="46"/>
        <v>MML_手術モジュール_診療科情報テーブルから組入れ条件の第一条件で絞り込んだ結果を格納するテーブル</v>
      </c>
      <c r="AN86" s="162"/>
      <c r="AO86" s="162"/>
      <c r="AP86" s="162"/>
      <c r="AQ86" s="162"/>
      <c r="AR86" s="162"/>
      <c r="AS86" s="162"/>
      <c r="AT86" s="162"/>
      <c r="AU86" s="162"/>
      <c r="AV86" s="162"/>
      <c r="AW86" s="162"/>
      <c r="AX86" s="162"/>
      <c r="AY86" s="162"/>
      <c r="AZ86" s="162"/>
      <c r="BA86" s="162"/>
      <c r="BB86" s="162"/>
      <c r="BC86" s="162"/>
      <c r="BD86" s="162"/>
      <c r="BE86" s="162"/>
      <c r="BF86" s="162"/>
      <c r="BG86" s="162"/>
      <c r="BH86" s="162"/>
      <c r="BI86" s="162"/>
      <c r="BJ86" s="164"/>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48" t="str">
        <f t="shared" si="20"/>
        <v>01</v>
      </c>
      <c r="C87" s="149"/>
      <c r="D87" s="149"/>
      <c r="E87" s="149"/>
      <c r="F87" s="150"/>
      <c r="G87" s="151" t="s">
        <v>196</v>
      </c>
      <c r="H87" s="152"/>
      <c r="I87" s="152"/>
      <c r="J87" s="152"/>
      <c r="K87" s="152"/>
      <c r="L87" s="152"/>
      <c r="M87" s="152"/>
      <c r="N87" s="153"/>
      <c r="O87" s="79" t="s">
        <v>3198</v>
      </c>
      <c r="P87" s="165" t="s">
        <v>2917</v>
      </c>
      <c r="Q87" s="166"/>
      <c r="R87" s="166"/>
      <c r="S87" s="166"/>
      <c r="T87" s="166"/>
      <c r="U87" s="166"/>
      <c r="V87" s="166"/>
      <c r="W87" s="166"/>
      <c r="X87" s="166"/>
      <c r="Y87" s="166"/>
      <c r="Z87" s="166"/>
      <c r="AA87" s="166"/>
      <c r="AB87" s="166"/>
      <c r="AC87" s="166"/>
      <c r="AD87" s="167"/>
      <c r="AE87" s="161" t="str">
        <f t="shared" ca="1" si="45"/>
        <v>sny_202310_backup_text_mml_mmlsg_rd</v>
      </c>
      <c r="AF87" s="162"/>
      <c r="AG87" s="162"/>
      <c r="AH87" s="162"/>
      <c r="AI87" s="162"/>
      <c r="AJ87" s="162"/>
      <c r="AK87" s="162"/>
      <c r="AL87" s="163"/>
      <c r="AM87" s="161" t="str">
        <f t="shared" ca="1" si="46"/>
        <v>MML_手術モジュール_診断履歴情報テーブルから組入れ条件の第一条件で絞り込んだ結果を格納するテーブル</v>
      </c>
      <c r="AN87" s="162"/>
      <c r="AO87" s="162"/>
      <c r="AP87" s="162"/>
      <c r="AQ87" s="162"/>
      <c r="AR87" s="162"/>
      <c r="AS87" s="162"/>
      <c r="AT87" s="162"/>
      <c r="AU87" s="162"/>
      <c r="AV87" s="162"/>
      <c r="AW87" s="162"/>
      <c r="AX87" s="162"/>
      <c r="AY87" s="162"/>
      <c r="AZ87" s="162"/>
      <c r="BA87" s="162"/>
      <c r="BB87" s="162"/>
      <c r="BC87" s="162"/>
      <c r="BD87" s="162"/>
      <c r="BE87" s="162"/>
      <c r="BF87" s="162"/>
      <c r="BG87" s="162"/>
      <c r="BH87" s="162"/>
      <c r="BI87" s="162"/>
      <c r="BJ87" s="164"/>
      <c r="BK87" s="32" t="str">
        <f t="shared" si="43"/>
        <v>ENT_01_A6-44_バックアップ_MML_手術モジュール_診断履歴情報.sql</v>
      </c>
    </row>
    <row r="88" spans="1:64" ht="37.5" hidden="1" customHeight="1" outlineLevel="1">
      <c r="A88" s="34" t="str">
        <f t="shared" si="44"/>
        <v>バックアップ_MML_手術モジュール_病名</v>
      </c>
      <c r="B88" s="148" t="str">
        <f t="shared" si="20"/>
        <v>01</v>
      </c>
      <c r="C88" s="149"/>
      <c r="D88" s="149"/>
      <c r="E88" s="149"/>
      <c r="F88" s="150"/>
      <c r="G88" s="151" t="s">
        <v>196</v>
      </c>
      <c r="H88" s="152"/>
      <c r="I88" s="152"/>
      <c r="J88" s="152"/>
      <c r="K88" s="152"/>
      <c r="L88" s="152"/>
      <c r="M88" s="152"/>
      <c r="N88" s="153"/>
      <c r="O88" s="79" t="s">
        <v>3199</v>
      </c>
      <c r="P88" s="165" t="s">
        <v>2920</v>
      </c>
      <c r="Q88" s="166"/>
      <c r="R88" s="166"/>
      <c r="S88" s="166"/>
      <c r="T88" s="166"/>
      <c r="U88" s="166"/>
      <c r="V88" s="166"/>
      <c r="W88" s="166"/>
      <c r="X88" s="166"/>
      <c r="Y88" s="166"/>
      <c r="Z88" s="166"/>
      <c r="AA88" s="166"/>
      <c r="AB88" s="166"/>
      <c r="AC88" s="166"/>
      <c r="AD88" s="167"/>
      <c r="AE88" s="161" t="str">
        <f t="shared" ca="1" si="45"/>
        <v>sny_202310_backup_text_mml_mmlsg_rd_byomei</v>
      </c>
      <c r="AF88" s="162"/>
      <c r="AG88" s="162"/>
      <c r="AH88" s="162"/>
      <c r="AI88" s="162"/>
      <c r="AJ88" s="162"/>
      <c r="AK88" s="162"/>
      <c r="AL88" s="163"/>
      <c r="AM88" s="161" t="str">
        <f t="shared" ca="1" si="46"/>
        <v>MML_手術モジュール_病名テーブルから組入れ条件の第一条件で絞り込んだ結果を格納するテーブル</v>
      </c>
      <c r="AN88" s="162"/>
      <c r="AO88" s="162"/>
      <c r="AP88" s="162"/>
      <c r="AQ88" s="162"/>
      <c r="AR88" s="162"/>
      <c r="AS88" s="162"/>
      <c r="AT88" s="162"/>
      <c r="AU88" s="162"/>
      <c r="AV88" s="162"/>
      <c r="AW88" s="162"/>
      <c r="AX88" s="162"/>
      <c r="AY88" s="162"/>
      <c r="AZ88" s="162"/>
      <c r="BA88" s="162"/>
      <c r="BB88" s="162"/>
      <c r="BC88" s="162"/>
      <c r="BD88" s="162"/>
      <c r="BE88" s="162"/>
      <c r="BF88" s="162"/>
      <c r="BG88" s="162"/>
      <c r="BH88" s="162"/>
      <c r="BI88" s="162"/>
      <c r="BJ88" s="164"/>
      <c r="BK88" s="32" t="str">
        <f t="shared" si="43"/>
        <v>ENT_01_A6-45_バックアップ_MML_手術モジュール_病名.sql</v>
      </c>
    </row>
    <row r="89" spans="1:64" ht="37.5" hidden="1" customHeight="1" outlineLevel="1">
      <c r="A89" s="34" t="str">
        <f t="shared" si="44"/>
        <v>バックアップ_MML_手術モジュール_カテゴリ名</v>
      </c>
      <c r="B89" s="148" t="str">
        <f t="shared" si="20"/>
        <v>01</v>
      </c>
      <c r="C89" s="149"/>
      <c r="D89" s="149"/>
      <c r="E89" s="149"/>
      <c r="F89" s="150"/>
      <c r="G89" s="151" t="s">
        <v>196</v>
      </c>
      <c r="H89" s="152"/>
      <c r="I89" s="152"/>
      <c r="J89" s="152"/>
      <c r="K89" s="152"/>
      <c r="L89" s="152"/>
      <c r="M89" s="152"/>
      <c r="N89" s="153"/>
      <c r="O89" s="79" t="s">
        <v>3200</v>
      </c>
      <c r="P89" s="165" t="s">
        <v>2921</v>
      </c>
      <c r="Q89" s="166"/>
      <c r="R89" s="166"/>
      <c r="S89" s="166"/>
      <c r="T89" s="166"/>
      <c r="U89" s="166"/>
      <c r="V89" s="166"/>
      <c r="W89" s="166"/>
      <c r="X89" s="166"/>
      <c r="Y89" s="166"/>
      <c r="Z89" s="166"/>
      <c r="AA89" s="166"/>
      <c r="AB89" s="166"/>
      <c r="AC89" s="166"/>
      <c r="AD89" s="167"/>
      <c r="AE89" s="161" t="str">
        <f t="shared" ca="1" si="45"/>
        <v>sny_202310_backup_text_mml_mmlsg_rd_category</v>
      </c>
      <c r="AF89" s="162"/>
      <c r="AG89" s="162"/>
      <c r="AH89" s="162"/>
      <c r="AI89" s="162"/>
      <c r="AJ89" s="162"/>
      <c r="AK89" s="162"/>
      <c r="AL89" s="163"/>
      <c r="AM89" s="161" t="str">
        <f t="shared" ca="1" si="46"/>
        <v>MML_手術モジュール_カテゴリ名テーブルから組入れ条件の第一条件で絞り込んだ結果を格納するテーブル</v>
      </c>
      <c r="AN89" s="162"/>
      <c r="AO89" s="162"/>
      <c r="AP89" s="162"/>
      <c r="AQ89" s="162"/>
      <c r="AR89" s="162"/>
      <c r="AS89" s="162"/>
      <c r="AT89" s="162"/>
      <c r="AU89" s="162"/>
      <c r="AV89" s="162"/>
      <c r="AW89" s="162"/>
      <c r="AX89" s="162"/>
      <c r="AY89" s="162"/>
      <c r="AZ89" s="162"/>
      <c r="BA89" s="162"/>
      <c r="BB89" s="162"/>
      <c r="BC89" s="162"/>
      <c r="BD89" s="162"/>
      <c r="BE89" s="162"/>
      <c r="BF89" s="162"/>
      <c r="BG89" s="162"/>
      <c r="BH89" s="162"/>
      <c r="BI89" s="162"/>
      <c r="BJ89" s="164"/>
      <c r="BK89" s="32" t="str">
        <f t="shared" si="43"/>
        <v>ENT_01_A6-46_バックアップ_MML_手術モジュール_カテゴリ名.sql</v>
      </c>
    </row>
    <row r="90" spans="1:64" ht="37.5" hidden="1" customHeight="1" outlineLevel="1">
      <c r="A90" s="34" t="str">
        <f t="shared" si="44"/>
        <v>バックアップ_MML_手術モジュール_手術法</v>
      </c>
      <c r="B90" s="148" t="str">
        <f t="shared" si="20"/>
        <v>01</v>
      </c>
      <c r="C90" s="149"/>
      <c r="D90" s="149"/>
      <c r="E90" s="149"/>
      <c r="F90" s="150"/>
      <c r="G90" s="151" t="s">
        <v>196</v>
      </c>
      <c r="H90" s="152"/>
      <c r="I90" s="152"/>
      <c r="J90" s="152"/>
      <c r="K90" s="152"/>
      <c r="L90" s="152"/>
      <c r="M90" s="152"/>
      <c r="N90" s="153"/>
      <c r="O90" s="79" t="s">
        <v>3201</v>
      </c>
      <c r="P90" s="165" t="s">
        <v>2922</v>
      </c>
      <c r="Q90" s="166"/>
      <c r="R90" s="166"/>
      <c r="S90" s="166"/>
      <c r="T90" s="166"/>
      <c r="U90" s="166"/>
      <c r="V90" s="166"/>
      <c r="W90" s="166"/>
      <c r="X90" s="166"/>
      <c r="Y90" s="166"/>
      <c r="Z90" s="166"/>
      <c r="AA90" s="166"/>
      <c r="AB90" s="166"/>
      <c r="AC90" s="166"/>
      <c r="AD90" s="167"/>
      <c r="AE90" s="161" t="str">
        <f t="shared" ca="1" si="45"/>
        <v>sny_202310_backup_text_mml_mmlsg_procedure_item</v>
      </c>
      <c r="AF90" s="162"/>
      <c r="AG90" s="162"/>
      <c r="AH90" s="162"/>
      <c r="AI90" s="162"/>
      <c r="AJ90" s="162"/>
      <c r="AK90" s="162"/>
      <c r="AL90" s="163"/>
      <c r="AM90" s="161" t="str">
        <f t="shared" ca="1" si="46"/>
        <v>MML_手術モジュール_手術法テーブルから組入れ条件の第一条件で絞り込んだ結果を格納するテーブル</v>
      </c>
      <c r="AN90" s="162"/>
      <c r="AO90" s="162"/>
      <c r="AP90" s="162"/>
      <c r="AQ90" s="162"/>
      <c r="AR90" s="162"/>
      <c r="AS90" s="162"/>
      <c r="AT90" s="162"/>
      <c r="AU90" s="162"/>
      <c r="AV90" s="162"/>
      <c r="AW90" s="162"/>
      <c r="AX90" s="162"/>
      <c r="AY90" s="162"/>
      <c r="AZ90" s="162"/>
      <c r="BA90" s="162"/>
      <c r="BB90" s="162"/>
      <c r="BC90" s="162"/>
      <c r="BD90" s="162"/>
      <c r="BE90" s="162"/>
      <c r="BF90" s="162"/>
      <c r="BG90" s="162"/>
      <c r="BH90" s="162"/>
      <c r="BI90" s="162"/>
      <c r="BJ90" s="164"/>
      <c r="BK90" s="32" t="str">
        <f t="shared" si="43"/>
        <v>ENT_01_A6-47_バックアップ_MML_手術モジュール_手術法.sql</v>
      </c>
    </row>
    <row r="91" spans="1:64" ht="37.5" hidden="1" customHeight="1" outlineLevel="1">
      <c r="A91" s="34" t="str">
        <f t="shared" si="44"/>
        <v>バックアップ_MML_手術モジュール_手術要素</v>
      </c>
      <c r="B91" s="148" t="str">
        <f t="shared" si="20"/>
        <v>01</v>
      </c>
      <c r="C91" s="149"/>
      <c r="D91" s="149"/>
      <c r="E91" s="149"/>
      <c r="F91" s="150"/>
      <c r="G91" s="151" t="s">
        <v>196</v>
      </c>
      <c r="H91" s="152"/>
      <c r="I91" s="152"/>
      <c r="J91" s="152"/>
      <c r="K91" s="152"/>
      <c r="L91" s="152"/>
      <c r="M91" s="152"/>
      <c r="N91" s="153"/>
      <c r="O91" s="79" t="s">
        <v>3202</v>
      </c>
      <c r="P91" s="165" t="s">
        <v>2931</v>
      </c>
      <c r="Q91" s="166"/>
      <c r="R91" s="166"/>
      <c r="S91" s="166"/>
      <c r="T91" s="166"/>
      <c r="U91" s="166"/>
      <c r="V91" s="166"/>
      <c r="W91" s="166"/>
      <c r="X91" s="166"/>
      <c r="Y91" s="166"/>
      <c r="Z91" s="166"/>
      <c r="AA91" s="166"/>
      <c r="AB91" s="166"/>
      <c r="AC91" s="166"/>
      <c r="AD91" s="167"/>
      <c r="AE91" s="161" t="str">
        <f t="shared" ca="1" si="45"/>
        <v>sny_202310_backup_text_mml_mmlsg_operation_element</v>
      </c>
      <c r="AF91" s="162"/>
      <c r="AG91" s="162"/>
      <c r="AH91" s="162"/>
      <c r="AI91" s="162"/>
      <c r="AJ91" s="162"/>
      <c r="AK91" s="162"/>
      <c r="AL91" s="163"/>
      <c r="AM91" s="161" t="str">
        <f t="shared" ca="1" si="46"/>
        <v>MML_手術モジュール_手術要素テーブルから組入れ条件の第一条件で絞り込んだ結果を格納するテーブル</v>
      </c>
      <c r="AN91" s="162"/>
      <c r="AO91" s="162"/>
      <c r="AP91" s="162"/>
      <c r="AQ91" s="162"/>
      <c r="AR91" s="162"/>
      <c r="AS91" s="162"/>
      <c r="AT91" s="162"/>
      <c r="AU91" s="162"/>
      <c r="AV91" s="162"/>
      <c r="AW91" s="162"/>
      <c r="AX91" s="162"/>
      <c r="AY91" s="162"/>
      <c r="AZ91" s="162"/>
      <c r="BA91" s="162"/>
      <c r="BB91" s="162"/>
      <c r="BC91" s="162"/>
      <c r="BD91" s="162"/>
      <c r="BE91" s="162"/>
      <c r="BF91" s="162"/>
      <c r="BG91" s="162"/>
      <c r="BH91" s="162"/>
      <c r="BI91" s="162"/>
      <c r="BJ91" s="164"/>
      <c r="BK91" s="32" t="str">
        <f t="shared" si="43"/>
        <v>ENT_01_A6-48_バックアップ_MML_手術モジュール_手術要素.sql</v>
      </c>
    </row>
    <row r="92" spans="1:64" ht="37.5" hidden="1" customHeight="1" outlineLevel="1">
      <c r="A92" s="34" t="str">
        <f t="shared" si="44"/>
        <v>バックアップ_MML_手術モジュール_麻酔法</v>
      </c>
      <c r="B92" s="148" t="str">
        <f t="shared" si="20"/>
        <v>01</v>
      </c>
      <c r="C92" s="149"/>
      <c r="D92" s="149"/>
      <c r="E92" s="149"/>
      <c r="F92" s="150"/>
      <c r="G92" s="151" t="s">
        <v>196</v>
      </c>
      <c r="H92" s="152"/>
      <c r="I92" s="152"/>
      <c r="J92" s="152"/>
      <c r="K92" s="152"/>
      <c r="L92" s="152"/>
      <c r="M92" s="152"/>
      <c r="N92" s="153"/>
      <c r="O92" s="79" t="s">
        <v>3203</v>
      </c>
      <c r="P92" s="165" t="s">
        <v>2935</v>
      </c>
      <c r="Q92" s="166"/>
      <c r="R92" s="166"/>
      <c r="S92" s="166"/>
      <c r="T92" s="166"/>
      <c r="U92" s="166"/>
      <c r="V92" s="166"/>
      <c r="W92" s="166"/>
      <c r="X92" s="166"/>
      <c r="Y92" s="166"/>
      <c r="Z92" s="166"/>
      <c r="AA92" s="166"/>
      <c r="AB92" s="166"/>
      <c r="AC92" s="166"/>
      <c r="AD92" s="167"/>
      <c r="AE92" s="161" t="str">
        <f t="shared" ca="1" si="45"/>
        <v>sny_202310_backup_text_mml_mmlsg_anesthesia_procedure</v>
      </c>
      <c r="AF92" s="162"/>
      <c r="AG92" s="162"/>
      <c r="AH92" s="162"/>
      <c r="AI92" s="162"/>
      <c r="AJ92" s="162"/>
      <c r="AK92" s="162"/>
      <c r="AL92" s="163"/>
      <c r="AM92" s="161" t="str">
        <f t="shared" ca="1" si="46"/>
        <v>MML_手術モジュール_麻酔法テーブルから組入れ条件の第一条件で絞り込んだ結果を格納するテーブル</v>
      </c>
      <c r="AN92" s="162"/>
      <c r="AO92" s="162"/>
      <c r="AP92" s="162"/>
      <c r="AQ92" s="162"/>
      <c r="AR92" s="162"/>
      <c r="AS92" s="162"/>
      <c r="AT92" s="162"/>
      <c r="AU92" s="162"/>
      <c r="AV92" s="162"/>
      <c r="AW92" s="162"/>
      <c r="AX92" s="162"/>
      <c r="AY92" s="162"/>
      <c r="AZ92" s="162"/>
      <c r="BA92" s="162"/>
      <c r="BB92" s="162"/>
      <c r="BC92" s="162"/>
      <c r="BD92" s="162"/>
      <c r="BE92" s="162"/>
      <c r="BF92" s="162"/>
      <c r="BG92" s="162"/>
      <c r="BH92" s="162"/>
      <c r="BI92" s="162"/>
      <c r="BJ92" s="164"/>
      <c r="BK92" s="32" t="str">
        <f t="shared" si="43"/>
        <v>ENT_01_A6-49_バックアップ_MML_手術モジュール_麻酔法.sql</v>
      </c>
    </row>
    <row r="93" spans="1:64" ht="37.5" hidden="1" customHeight="1" outlineLevel="1">
      <c r="A93" s="34" t="str">
        <f t="shared" si="36"/>
        <v>バックアップ_MML_報告書情報モジュール_本文</v>
      </c>
      <c r="B93" s="148" t="str">
        <f t="shared" si="20"/>
        <v>01</v>
      </c>
      <c r="C93" s="149"/>
      <c r="D93" s="149"/>
      <c r="E93" s="149"/>
      <c r="F93" s="150"/>
      <c r="G93" s="151" t="s">
        <v>196</v>
      </c>
      <c r="H93" s="152"/>
      <c r="I93" s="152"/>
      <c r="J93" s="152"/>
      <c r="K93" s="152"/>
      <c r="L93" s="152"/>
      <c r="M93" s="152"/>
      <c r="N93" s="153"/>
      <c r="O93" s="79" t="s">
        <v>3204</v>
      </c>
      <c r="P93" s="165" t="s">
        <v>2942</v>
      </c>
      <c r="Q93" s="166"/>
      <c r="R93" s="166"/>
      <c r="S93" s="166"/>
      <c r="T93" s="166"/>
      <c r="U93" s="166"/>
      <c r="V93" s="166"/>
      <c r="W93" s="166"/>
      <c r="X93" s="166"/>
      <c r="Y93" s="166"/>
      <c r="Z93" s="166"/>
      <c r="AA93" s="166"/>
      <c r="AB93" s="166"/>
      <c r="AC93" s="166"/>
      <c r="AD93" s="167"/>
      <c r="AE93" s="161" t="str">
        <f t="shared" ca="1" si="37"/>
        <v>sny_202310_backup_text_mml_mmlrp_body</v>
      </c>
      <c r="AF93" s="162"/>
      <c r="AG93" s="162"/>
      <c r="AH93" s="162"/>
      <c r="AI93" s="162"/>
      <c r="AJ93" s="162"/>
      <c r="AK93" s="162"/>
      <c r="AL93" s="163"/>
      <c r="AM93" s="161" t="str">
        <f t="shared" ca="1" si="38"/>
        <v>MML_報告書情報モジュール_本文テーブルから組入れ条件の第一条件で絞り込んだ結果を格納するテーブル</v>
      </c>
      <c r="AN93" s="162"/>
      <c r="AO93" s="162"/>
      <c r="AP93" s="162"/>
      <c r="AQ93" s="162"/>
      <c r="AR93" s="162"/>
      <c r="AS93" s="162"/>
      <c r="AT93" s="162"/>
      <c r="AU93" s="162"/>
      <c r="AV93" s="162"/>
      <c r="AW93" s="162"/>
      <c r="AX93" s="162"/>
      <c r="AY93" s="162"/>
      <c r="AZ93" s="162"/>
      <c r="BA93" s="162"/>
      <c r="BB93" s="162"/>
      <c r="BC93" s="162"/>
      <c r="BD93" s="162"/>
      <c r="BE93" s="162"/>
      <c r="BF93" s="162"/>
      <c r="BG93" s="162"/>
      <c r="BH93" s="162"/>
      <c r="BI93" s="162"/>
      <c r="BJ93" s="164"/>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48" t="str">
        <f t="shared" si="20"/>
        <v>01</v>
      </c>
      <c r="C94" s="149"/>
      <c r="D94" s="149"/>
      <c r="E94" s="149"/>
      <c r="F94" s="150"/>
      <c r="G94" s="151" t="s">
        <v>196</v>
      </c>
      <c r="H94" s="152"/>
      <c r="I94" s="152"/>
      <c r="J94" s="152"/>
      <c r="K94" s="152"/>
      <c r="L94" s="152"/>
      <c r="M94" s="152"/>
      <c r="N94" s="153"/>
      <c r="O94" s="79" t="s">
        <v>3205</v>
      </c>
      <c r="P94" s="165" t="s">
        <v>3000</v>
      </c>
      <c r="Q94" s="166"/>
      <c r="R94" s="166"/>
      <c r="S94" s="166"/>
      <c r="T94" s="166"/>
      <c r="U94" s="166"/>
      <c r="V94" s="166"/>
      <c r="W94" s="166"/>
      <c r="X94" s="166"/>
      <c r="Y94" s="166"/>
      <c r="Z94" s="166"/>
      <c r="AA94" s="166"/>
      <c r="AB94" s="166"/>
      <c r="AC94" s="166"/>
      <c r="AD94" s="167"/>
      <c r="AE94" s="161" t="str">
        <f t="shared" ca="1" si="37"/>
        <v>sny_202310_backup_text_mml_mmlrp_test_memo</v>
      </c>
      <c r="AF94" s="162"/>
      <c r="AG94" s="162"/>
      <c r="AH94" s="162"/>
      <c r="AI94" s="162"/>
      <c r="AJ94" s="162"/>
      <c r="AK94" s="162"/>
      <c r="AL94" s="163"/>
      <c r="AM94" s="161" t="str">
        <f t="shared" ca="1" si="38"/>
        <v>MML_報告書情報モジュール_検査コメントテーブルから組入れ条件の第一条件で絞り込んだ結果を格納するテーブル</v>
      </c>
      <c r="AN94" s="162"/>
      <c r="AO94" s="162"/>
      <c r="AP94" s="162"/>
      <c r="AQ94" s="162"/>
      <c r="AR94" s="162"/>
      <c r="AS94" s="162"/>
      <c r="AT94" s="162"/>
      <c r="AU94" s="162"/>
      <c r="AV94" s="162"/>
      <c r="AW94" s="162"/>
      <c r="AX94" s="162"/>
      <c r="AY94" s="162"/>
      <c r="AZ94" s="162"/>
      <c r="BA94" s="162"/>
      <c r="BB94" s="162"/>
      <c r="BC94" s="162"/>
      <c r="BD94" s="162"/>
      <c r="BE94" s="162"/>
      <c r="BF94" s="162"/>
      <c r="BG94" s="162"/>
      <c r="BH94" s="162"/>
      <c r="BI94" s="162"/>
      <c r="BJ94" s="164"/>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48" t="str">
        <f t="shared" si="20"/>
        <v>01</v>
      </c>
      <c r="C95" s="149"/>
      <c r="D95" s="149"/>
      <c r="E95" s="149"/>
      <c r="F95" s="150"/>
      <c r="G95" s="151" t="s">
        <v>196</v>
      </c>
      <c r="H95" s="152"/>
      <c r="I95" s="152"/>
      <c r="J95" s="152"/>
      <c r="K95" s="152"/>
      <c r="L95" s="152"/>
      <c r="M95" s="152"/>
      <c r="N95" s="153"/>
      <c r="O95" s="79" t="s">
        <v>3206</v>
      </c>
      <c r="P95" s="165" t="s">
        <v>3218</v>
      </c>
      <c r="Q95" s="166"/>
      <c r="R95" s="166"/>
      <c r="S95" s="166"/>
      <c r="T95" s="166"/>
      <c r="U95" s="166"/>
      <c r="V95" s="166"/>
      <c r="W95" s="166"/>
      <c r="X95" s="166"/>
      <c r="Y95" s="166"/>
      <c r="Z95" s="166"/>
      <c r="AA95" s="166"/>
      <c r="AB95" s="166"/>
      <c r="AC95" s="166"/>
      <c r="AD95" s="167"/>
      <c r="AE95" s="161" t="str">
        <f t="shared" ref="AE95:AE103" ca="1" si="48">IFERROR(INDIRECT(P95&amp;"!D8"),"")</f>
        <v>sny_202310_backup_text_mml_mmlls_body</v>
      </c>
      <c r="AF95" s="162"/>
      <c r="AG95" s="162"/>
      <c r="AH95" s="162"/>
      <c r="AI95" s="162"/>
      <c r="AJ95" s="162"/>
      <c r="AK95" s="162"/>
      <c r="AL95" s="163"/>
      <c r="AM95" s="161" t="str">
        <f t="shared" ref="AM95:AM103" ca="1" si="49">IFERROR(INDIRECT(P95&amp;"!D9"),"")</f>
        <v>MML_生活習慣情報モジュール_本文テーブルから組入れ条件の第一条件で絞り込んだ結果を格納するテーブル</v>
      </c>
      <c r="AN95" s="162"/>
      <c r="AO95" s="162"/>
      <c r="AP95" s="162"/>
      <c r="AQ95" s="162"/>
      <c r="AR95" s="162"/>
      <c r="AS95" s="162"/>
      <c r="AT95" s="162"/>
      <c r="AU95" s="162"/>
      <c r="AV95" s="162"/>
      <c r="AW95" s="162"/>
      <c r="AX95" s="162"/>
      <c r="AY95" s="162"/>
      <c r="AZ95" s="162"/>
      <c r="BA95" s="162"/>
      <c r="BB95" s="162"/>
      <c r="BC95" s="162"/>
      <c r="BD95" s="162"/>
      <c r="BE95" s="162"/>
      <c r="BF95" s="162"/>
      <c r="BG95" s="162"/>
      <c r="BH95" s="162"/>
      <c r="BI95" s="162"/>
      <c r="BJ95" s="164"/>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48" t="str">
        <f t="shared" si="20"/>
        <v>01</v>
      </c>
      <c r="C96" s="149"/>
      <c r="D96" s="149"/>
      <c r="E96" s="149"/>
      <c r="F96" s="150"/>
      <c r="G96" s="151" t="s">
        <v>196</v>
      </c>
      <c r="H96" s="152"/>
      <c r="I96" s="152"/>
      <c r="J96" s="152"/>
      <c r="K96" s="152"/>
      <c r="L96" s="152"/>
      <c r="M96" s="152"/>
      <c r="N96" s="153"/>
      <c r="O96" s="79" t="s">
        <v>3207</v>
      </c>
      <c r="P96" s="165" t="s">
        <v>3011</v>
      </c>
      <c r="Q96" s="166"/>
      <c r="R96" s="166"/>
      <c r="S96" s="166"/>
      <c r="T96" s="166"/>
      <c r="U96" s="166"/>
      <c r="V96" s="166"/>
      <c r="W96" s="166"/>
      <c r="X96" s="166"/>
      <c r="Y96" s="166"/>
      <c r="Z96" s="166"/>
      <c r="AA96" s="166"/>
      <c r="AB96" s="166"/>
      <c r="AC96" s="166"/>
      <c r="AD96" s="167"/>
      <c r="AE96" s="161" t="str">
        <f t="shared" ref="AE96" ca="1" si="51">IFERROR(INDIRECT(P96&amp;"!D8"),"")</f>
        <v>sny_202310_backup_text_mml_mmlre_body</v>
      </c>
      <c r="AF96" s="162"/>
      <c r="AG96" s="162"/>
      <c r="AH96" s="162"/>
      <c r="AI96" s="162"/>
      <c r="AJ96" s="162"/>
      <c r="AK96" s="162"/>
      <c r="AL96" s="163"/>
      <c r="AM96" s="161" t="str">
        <f t="shared" ref="AM96" ca="1" si="52">IFERROR(INDIRECT(P96&amp;"!D9"),"")</f>
        <v>MML_紹介状モジュール_本文テーブルから組入れ条件の第一条件で絞り込んだ結果を格納するテーブル</v>
      </c>
      <c r="AN96" s="162"/>
      <c r="AO96" s="162"/>
      <c r="AP96" s="162"/>
      <c r="AQ96" s="162"/>
      <c r="AR96" s="162"/>
      <c r="AS96" s="162"/>
      <c r="AT96" s="162"/>
      <c r="AU96" s="162"/>
      <c r="AV96" s="162"/>
      <c r="AW96" s="162"/>
      <c r="AX96" s="162"/>
      <c r="AY96" s="162"/>
      <c r="AZ96" s="162"/>
      <c r="BA96" s="162"/>
      <c r="BB96" s="162"/>
      <c r="BC96" s="162"/>
      <c r="BD96" s="162"/>
      <c r="BE96" s="162"/>
      <c r="BF96" s="162"/>
      <c r="BG96" s="162"/>
      <c r="BH96" s="162"/>
      <c r="BI96" s="162"/>
      <c r="BJ96" s="164"/>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48" t="str">
        <f t="shared" si="20"/>
        <v>01</v>
      </c>
      <c r="C97" s="149"/>
      <c r="D97" s="149"/>
      <c r="E97" s="149"/>
      <c r="F97" s="150"/>
      <c r="G97" s="151" t="s">
        <v>196</v>
      </c>
      <c r="H97" s="152"/>
      <c r="I97" s="152"/>
      <c r="J97" s="152"/>
      <c r="K97" s="152"/>
      <c r="L97" s="152"/>
      <c r="M97" s="152"/>
      <c r="N97" s="153"/>
      <c r="O97" s="79" t="s">
        <v>3208</v>
      </c>
      <c r="P97" s="165" t="s">
        <v>3040</v>
      </c>
      <c r="Q97" s="166"/>
      <c r="R97" s="166"/>
      <c r="S97" s="166"/>
      <c r="T97" s="166"/>
      <c r="U97" s="166"/>
      <c r="V97" s="166"/>
      <c r="W97" s="166"/>
      <c r="X97" s="166"/>
      <c r="Y97" s="166"/>
      <c r="Z97" s="166"/>
      <c r="AA97" s="166"/>
      <c r="AB97" s="166"/>
      <c r="AC97" s="166"/>
      <c r="AD97" s="167"/>
      <c r="AE97" s="161" t="str">
        <f t="shared" ref="AE97" ca="1" si="54">IFERROR(INDIRECT(P97&amp;"!D8"),"")</f>
        <v>sny_202310_backup_text_mml_mmlre_inj</v>
      </c>
      <c r="AF97" s="162"/>
      <c r="AG97" s="162"/>
      <c r="AH97" s="162"/>
      <c r="AI97" s="162"/>
      <c r="AJ97" s="162"/>
      <c r="AK97" s="162"/>
      <c r="AL97" s="163"/>
      <c r="AM97" s="161" t="str">
        <f t="shared" ref="AM97" ca="1" si="55">IFERROR(INDIRECT(P97&amp;"!D9"),"")</f>
        <v>MML_紹介状モジュール_注射記録テーブルから組入れ条件の第一条件で絞り込んだ結果を格納するテーブル</v>
      </c>
      <c r="AN97" s="162"/>
      <c r="AO97" s="162"/>
      <c r="AP97" s="162"/>
      <c r="AQ97" s="162"/>
      <c r="AR97" s="162"/>
      <c r="AS97" s="162"/>
      <c r="AT97" s="162"/>
      <c r="AU97" s="162"/>
      <c r="AV97" s="162"/>
      <c r="AW97" s="162"/>
      <c r="AX97" s="162"/>
      <c r="AY97" s="162"/>
      <c r="AZ97" s="162"/>
      <c r="BA97" s="162"/>
      <c r="BB97" s="162"/>
      <c r="BC97" s="162"/>
      <c r="BD97" s="162"/>
      <c r="BE97" s="162"/>
      <c r="BF97" s="162"/>
      <c r="BG97" s="162"/>
      <c r="BH97" s="162"/>
      <c r="BI97" s="162"/>
      <c r="BJ97" s="164"/>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48" t="str">
        <f t="shared" si="20"/>
        <v>01</v>
      </c>
      <c r="C98" s="149"/>
      <c r="D98" s="149"/>
      <c r="E98" s="149"/>
      <c r="F98" s="150"/>
      <c r="G98" s="151" t="s">
        <v>196</v>
      </c>
      <c r="H98" s="152"/>
      <c r="I98" s="152"/>
      <c r="J98" s="152"/>
      <c r="K98" s="152"/>
      <c r="L98" s="152"/>
      <c r="M98" s="152"/>
      <c r="N98" s="153"/>
      <c r="O98" s="79" t="s">
        <v>3209</v>
      </c>
      <c r="P98" s="165" t="s">
        <v>3041</v>
      </c>
      <c r="Q98" s="166"/>
      <c r="R98" s="166"/>
      <c r="S98" s="166"/>
      <c r="T98" s="166"/>
      <c r="U98" s="166"/>
      <c r="V98" s="166"/>
      <c r="W98" s="166"/>
      <c r="X98" s="166"/>
      <c r="Y98" s="166"/>
      <c r="Z98" s="166"/>
      <c r="AA98" s="166"/>
      <c r="AB98" s="166"/>
      <c r="AC98" s="166"/>
      <c r="AD98" s="167"/>
      <c r="AE98" s="161" t="str">
        <f t="shared" ca="1" si="48"/>
        <v>sny_202310_backup_text_mml_mmlre_inj_medication</v>
      </c>
      <c r="AF98" s="162"/>
      <c r="AG98" s="162"/>
      <c r="AH98" s="162"/>
      <c r="AI98" s="162"/>
      <c r="AJ98" s="162"/>
      <c r="AK98" s="162"/>
      <c r="AL98" s="163"/>
      <c r="AM98" s="161" t="str">
        <f t="shared" ca="1" si="49"/>
        <v>MML_紹介状モジュール_注射記録投薬テーブルから組入れ条件の第一条件で絞り込んだ結果を格納するテーブル</v>
      </c>
      <c r="AN98" s="162"/>
      <c r="AO98" s="162"/>
      <c r="AP98" s="162"/>
      <c r="AQ98" s="162"/>
      <c r="AR98" s="162"/>
      <c r="AS98" s="162"/>
      <c r="AT98" s="162"/>
      <c r="AU98" s="162"/>
      <c r="AV98" s="162"/>
      <c r="AW98" s="162"/>
      <c r="AX98" s="162"/>
      <c r="AY98" s="162"/>
      <c r="AZ98" s="162"/>
      <c r="BA98" s="162"/>
      <c r="BB98" s="162"/>
      <c r="BC98" s="162"/>
      <c r="BD98" s="162"/>
      <c r="BE98" s="162"/>
      <c r="BF98" s="162"/>
      <c r="BG98" s="162"/>
      <c r="BH98" s="162"/>
      <c r="BI98" s="162"/>
      <c r="BJ98" s="164"/>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48" t="str">
        <f t="shared" si="20"/>
        <v>01</v>
      </c>
      <c r="C99" s="149"/>
      <c r="D99" s="149"/>
      <c r="E99" s="149"/>
      <c r="F99" s="150"/>
      <c r="G99" s="151" t="s">
        <v>196</v>
      </c>
      <c r="H99" s="152"/>
      <c r="I99" s="152"/>
      <c r="J99" s="152"/>
      <c r="K99" s="152"/>
      <c r="L99" s="152"/>
      <c r="M99" s="152"/>
      <c r="N99" s="153"/>
      <c r="O99" s="79" t="s">
        <v>3210</v>
      </c>
      <c r="P99" s="165" t="s">
        <v>3044</v>
      </c>
      <c r="Q99" s="166"/>
      <c r="R99" s="166"/>
      <c r="S99" s="166"/>
      <c r="T99" s="166"/>
      <c r="U99" s="166"/>
      <c r="V99" s="166"/>
      <c r="W99" s="166"/>
      <c r="X99" s="166"/>
      <c r="Y99" s="166"/>
      <c r="Z99" s="166"/>
      <c r="AA99" s="166"/>
      <c r="AB99" s="166"/>
      <c r="AC99" s="166"/>
      <c r="AD99" s="167"/>
      <c r="AE99" s="161" t="str">
        <f t="shared" ca="1" si="48"/>
        <v>sny_202310_backup_text_mml_mmlre_inj_medicine</v>
      </c>
      <c r="AF99" s="162"/>
      <c r="AG99" s="162"/>
      <c r="AH99" s="162"/>
      <c r="AI99" s="162"/>
      <c r="AJ99" s="162"/>
      <c r="AK99" s="162"/>
      <c r="AL99" s="163"/>
      <c r="AM99" s="161" t="str">
        <f t="shared" ca="1" si="49"/>
        <v>MML_紹介状モジュール_注射記録薬剤テーブルから組入れ条件の第一条件で絞り込んだ結果を格納するテーブル</v>
      </c>
      <c r="AN99" s="162"/>
      <c r="AO99" s="162"/>
      <c r="AP99" s="162"/>
      <c r="AQ99" s="162"/>
      <c r="AR99" s="162"/>
      <c r="AS99" s="162"/>
      <c r="AT99" s="162"/>
      <c r="AU99" s="162"/>
      <c r="AV99" s="162"/>
      <c r="AW99" s="162"/>
      <c r="AX99" s="162"/>
      <c r="AY99" s="162"/>
      <c r="AZ99" s="162"/>
      <c r="BA99" s="162"/>
      <c r="BB99" s="162"/>
      <c r="BC99" s="162"/>
      <c r="BD99" s="162"/>
      <c r="BE99" s="162"/>
      <c r="BF99" s="162"/>
      <c r="BG99" s="162"/>
      <c r="BH99" s="162"/>
      <c r="BI99" s="162"/>
      <c r="BJ99" s="164"/>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48" t="str">
        <f t="shared" si="20"/>
        <v>01</v>
      </c>
      <c r="C100" s="149"/>
      <c r="D100" s="149"/>
      <c r="E100" s="149"/>
      <c r="F100" s="150"/>
      <c r="G100" s="151" t="s">
        <v>196</v>
      </c>
      <c r="H100" s="152"/>
      <c r="I100" s="152"/>
      <c r="J100" s="152"/>
      <c r="K100" s="152"/>
      <c r="L100" s="152"/>
      <c r="M100" s="152"/>
      <c r="N100" s="153"/>
      <c r="O100" s="79" t="s">
        <v>3211</v>
      </c>
      <c r="P100" s="165" t="s">
        <v>3045</v>
      </c>
      <c r="Q100" s="166"/>
      <c r="R100" s="166"/>
      <c r="S100" s="166"/>
      <c r="T100" s="166"/>
      <c r="U100" s="166"/>
      <c r="V100" s="166"/>
      <c r="W100" s="166"/>
      <c r="X100" s="166"/>
      <c r="Y100" s="166"/>
      <c r="Z100" s="166"/>
      <c r="AA100" s="166"/>
      <c r="AB100" s="166"/>
      <c r="AC100" s="166"/>
      <c r="AD100" s="167"/>
      <c r="AE100" s="161" t="str">
        <f t="shared" ca="1" si="48"/>
        <v>sny_202310_backup_text_mml_mmlre_pi</v>
      </c>
      <c r="AF100" s="162"/>
      <c r="AG100" s="162"/>
      <c r="AH100" s="162"/>
      <c r="AI100" s="162"/>
      <c r="AJ100" s="162"/>
      <c r="AK100" s="162"/>
      <c r="AL100" s="163"/>
      <c r="AM100" s="161" t="str">
        <f t="shared" ca="1" si="49"/>
        <v>MML_紹介状モジュール_患者情報テーブルから組入れ条件の第一条件で絞り込んだ結果を格納するテーブル</v>
      </c>
      <c r="AN100" s="162"/>
      <c r="AO100" s="162"/>
      <c r="AP100" s="162"/>
      <c r="AQ100" s="162"/>
      <c r="AR100" s="162"/>
      <c r="AS100" s="162"/>
      <c r="AT100" s="162"/>
      <c r="AU100" s="162"/>
      <c r="AV100" s="162"/>
      <c r="AW100" s="162"/>
      <c r="AX100" s="162"/>
      <c r="AY100" s="162"/>
      <c r="AZ100" s="162"/>
      <c r="BA100" s="162"/>
      <c r="BB100" s="162"/>
      <c r="BC100" s="162"/>
      <c r="BD100" s="162"/>
      <c r="BE100" s="162"/>
      <c r="BF100" s="162"/>
      <c r="BG100" s="162"/>
      <c r="BH100" s="162"/>
      <c r="BI100" s="162"/>
      <c r="BJ100" s="164"/>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48" t="str">
        <f t="shared" si="20"/>
        <v>01</v>
      </c>
      <c r="C101" s="149"/>
      <c r="D101" s="149"/>
      <c r="E101" s="149"/>
      <c r="F101" s="150"/>
      <c r="G101" s="151" t="s">
        <v>196</v>
      </c>
      <c r="H101" s="152"/>
      <c r="I101" s="152"/>
      <c r="J101" s="152"/>
      <c r="K101" s="152"/>
      <c r="L101" s="152"/>
      <c r="M101" s="152"/>
      <c r="N101" s="153"/>
      <c r="O101" s="79" t="s">
        <v>3212</v>
      </c>
      <c r="P101" s="165" t="s">
        <v>3055</v>
      </c>
      <c r="Q101" s="166"/>
      <c r="R101" s="166"/>
      <c r="S101" s="166"/>
      <c r="T101" s="166"/>
      <c r="U101" s="166"/>
      <c r="V101" s="166"/>
      <c r="W101" s="166"/>
      <c r="X101" s="166"/>
      <c r="Y101" s="166"/>
      <c r="Z101" s="166"/>
      <c r="AA101" s="166"/>
      <c r="AB101" s="166"/>
      <c r="AC101" s="166"/>
      <c r="AD101" s="167"/>
      <c r="AE101" s="161" t="str">
        <f t="shared" ca="1" si="48"/>
        <v>sny_202310_backup_text_mml_mmlre_pi_address</v>
      </c>
      <c r="AF101" s="162"/>
      <c r="AG101" s="162"/>
      <c r="AH101" s="162"/>
      <c r="AI101" s="162"/>
      <c r="AJ101" s="162"/>
      <c r="AK101" s="162"/>
      <c r="AL101" s="163"/>
      <c r="AM101" s="161" t="str">
        <f t="shared" ca="1" si="49"/>
        <v>MML_紹介状モジュール_患者情報住所テーブルから組入れ条件の第一条件で絞り込んだ結果を格納するテーブル</v>
      </c>
      <c r="AN101" s="162"/>
      <c r="AO101" s="162"/>
      <c r="AP101" s="162"/>
      <c r="AQ101" s="162"/>
      <c r="AR101" s="162"/>
      <c r="AS101" s="162"/>
      <c r="AT101" s="162"/>
      <c r="AU101" s="162"/>
      <c r="AV101" s="162"/>
      <c r="AW101" s="162"/>
      <c r="AX101" s="162"/>
      <c r="AY101" s="162"/>
      <c r="AZ101" s="162"/>
      <c r="BA101" s="162"/>
      <c r="BB101" s="162"/>
      <c r="BC101" s="162"/>
      <c r="BD101" s="162"/>
      <c r="BE101" s="162"/>
      <c r="BF101" s="162"/>
      <c r="BG101" s="162"/>
      <c r="BH101" s="162"/>
      <c r="BI101" s="162"/>
      <c r="BJ101" s="164"/>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48" t="str">
        <f t="shared" si="20"/>
        <v>01</v>
      </c>
      <c r="C102" s="149"/>
      <c r="D102" s="149"/>
      <c r="E102" s="149"/>
      <c r="F102" s="150"/>
      <c r="G102" s="151" t="s">
        <v>196</v>
      </c>
      <c r="H102" s="152"/>
      <c r="I102" s="152"/>
      <c r="J102" s="152"/>
      <c r="K102" s="152"/>
      <c r="L102" s="152"/>
      <c r="M102" s="152"/>
      <c r="N102" s="153"/>
      <c r="O102" s="79" t="s">
        <v>3213</v>
      </c>
      <c r="P102" s="165" t="s">
        <v>3073</v>
      </c>
      <c r="Q102" s="166"/>
      <c r="R102" s="166"/>
      <c r="S102" s="166"/>
      <c r="T102" s="166"/>
      <c r="U102" s="166"/>
      <c r="V102" s="166"/>
      <c r="W102" s="166"/>
      <c r="X102" s="166"/>
      <c r="Y102" s="166"/>
      <c r="Z102" s="166"/>
      <c r="AA102" s="166"/>
      <c r="AB102" s="166"/>
      <c r="AC102" s="166"/>
      <c r="AD102" s="167"/>
      <c r="AE102" s="161" t="str">
        <f t="shared" ca="1" si="48"/>
        <v>sny_202310_backup_text_mml_mmlre_ps</v>
      </c>
      <c r="AF102" s="162"/>
      <c r="AG102" s="162"/>
      <c r="AH102" s="162"/>
      <c r="AI102" s="162"/>
      <c r="AJ102" s="162"/>
      <c r="AK102" s="162"/>
      <c r="AL102" s="163"/>
      <c r="AM102" s="161" t="str">
        <f t="shared" ca="1" si="49"/>
        <v>MML_紹介状モジュール_処方箋テーブルから組入れ条件の第一条件で絞り込んだ結果を格納するテーブル</v>
      </c>
      <c r="AN102" s="162"/>
      <c r="AO102" s="162"/>
      <c r="AP102" s="162"/>
      <c r="AQ102" s="162"/>
      <c r="AR102" s="162"/>
      <c r="AS102" s="162"/>
      <c r="AT102" s="162"/>
      <c r="AU102" s="162"/>
      <c r="AV102" s="162"/>
      <c r="AW102" s="162"/>
      <c r="AX102" s="162"/>
      <c r="AY102" s="162"/>
      <c r="AZ102" s="162"/>
      <c r="BA102" s="162"/>
      <c r="BB102" s="162"/>
      <c r="BC102" s="162"/>
      <c r="BD102" s="162"/>
      <c r="BE102" s="162"/>
      <c r="BF102" s="162"/>
      <c r="BG102" s="162"/>
      <c r="BH102" s="162"/>
      <c r="BI102" s="162"/>
      <c r="BJ102" s="164"/>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48" t="str">
        <f t="shared" si="20"/>
        <v>01</v>
      </c>
      <c r="C103" s="149"/>
      <c r="D103" s="149"/>
      <c r="E103" s="149"/>
      <c r="F103" s="150"/>
      <c r="G103" s="151" t="s">
        <v>196</v>
      </c>
      <c r="H103" s="152"/>
      <c r="I103" s="152"/>
      <c r="J103" s="152"/>
      <c r="K103" s="152"/>
      <c r="L103" s="152"/>
      <c r="M103" s="152"/>
      <c r="N103" s="153"/>
      <c r="O103" s="79" t="s">
        <v>3214</v>
      </c>
      <c r="P103" s="165" t="s">
        <v>3074</v>
      </c>
      <c r="Q103" s="166"/>
      <c r="R103" s="166"/>
      <c r="S103" s="166"/>
      <c r="T103" s="166"/>
      <c r="U103" s="166"/>
      <c r="V103" s="166"/>
      <c r="W103" s="166"/>
      <c r="X103" s="166"/>
      <c r="Y103" s="166"/>
      <c r="Z103" s="166"/>
      <c r="AA103" s="166"/>
      <c r="AB103" s="166"/>
      <c r="AC103" s="166"/>
      <c r="AD103" s="167"/>
      <c r="AE103" s="161" t="str">
        <f t="shared" ca="1" si="48"/>
        <v>sny_202310_backup_text_mml_mmlre_ps_medication</v>
      </c>
      <c r="AF103" s="162"/>
      <c r="AG103" s="162"/>
      <c r="AH103" s="162"/>
      <c r="AI103" s="162"/>
      <c r="AJ103" s="162"/>
      <c r="AK103" s="162"/>
      <c r="AL103" s="163"/>
      <c r="AM103" s="161" t="str">
        <f t="shared" ca="1" si="49"/>
        <v>MML_紹介状モジュール_処方箋投薬テーブルから組入れ条件の第一条件で絞り込んだ結果を格納するテーブル</v>
      </c>
      <c r="AN103" s="162"/>
      <c r="AO103" s="162"/>
      <c r="AP103" s="162"/>
      <c r="AQ103" s="162"/>
      <c r="AR103" s="162"/>
      <c r="AS103" s="162"/>
      <c r="AT103" s="162"/>
      <c r="AU103" s="162"/>
      <c r="AV103" s="162"/>
      <c r="AW103" s="162"/>
      <c r="AX103" s="162"/>
      <c r="AY103" s="162"/>
      <c r="AZ103" s="162"/>
      <c r="BA103" s="162"/>
      <c r="BB103" s="162"/>
      <c r="BC103" s="162"/>
      <c r="BD103" s="162"/>
      <c r="BE103" s="162"/>
      <c r="BF103" s="162"/>
      <c r="BG103" s="162"/>
      <c r="BH103" s="162"/>
      <c r="BI103" s="162"/>
      <c r="BJ103" s="164"/>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48" t="str">
        <f t="shared" si="20"/>
        <v>01</v>
      </c>
      <c r="C104" s="149"/>
      <c r="D104" s="149"/>
      <c r="E104" s="149"/>
      <c r="F104" s="150"/>
      <c r="G104" s="151" t="s">
        <v>196</v>
      </c>
      <c r="H104" s="152"/>
      <c r="I104" s="152"/>
      <c r="J104" s="152"/>
      <c r="K104" s="152"/>
      <c r="L104" s="152"/>
      <c r="M104" s="152"/>
      <c r="N104" s="153"/>
      <c r="O104" s="79" t="s">
        <v>3215</v>
      </c>
      <c r="P104" s="165" t="s">
        <v>3075</v>
      </c>
      <c r="Q104" s="166"/>
      <c r="R104" s="166"/>
      <c r="S104" s="166"/>
      <c r="T104" s="166"/>
      <c r="U104" s="166"/>
      <c r="V104" s="166"/>
      <c r="W104" s="166"/>
      <c r="X104" s="166"/>
      <c r="Y104" s="166"/>
      <c r="Z104" s="166"/>
      <c r="AA104" s="166"/>
      <c r="AB104" s="166"/>
      <c r="AC104" s="166"/>
      <c r="AD104" s="167"/>
      <c r="AE104" s="161" t="str">
        <f t="shared" ca="1" si="37"/>
        <v>sny_202310_backup_text_mml_mmlre_ps_medicine</v>
      </c>
      <c r="AF104" s="162"/>
      <c r="AG104" s="162"/>
      <c r="AH104" s="162"/>
      <c r="AI104" s="162"/>
      <c r="AJ104" s="162"/>
      <c r="AK104" s="162"/>
      <c r="AL104" s="163"/>
      <c r="AM104" s="161" t="str">
        <f t="shared" ca="1" si="38"/>
        <v>MML_紹介状モジュール_処方箋薬剤テーブルから組入れ条件の第一条件で絞り込んだ結果を格納するテーブル</v>
      </c>
      <c r="AN104" s="162"/>
      <c r="AO104" s="162"/>
      <c r="AP104" s="162"/>
      <c r="AQ104" s="162"/>
      <c r="AR104" s="162"/>
      <c r="AS104" s="162"/>
      <c r="AT104" s="162"/>
      <c r="AU104" s="162"/>
      <c r="AV104" s="162"/>
      <c r="AW104" s="162"/>
      <c r="AX104" s="162"/>
      <c r="AY104" s="162"/>
      <c r="AZ104" s="162"/>
      <c r="BA104" s="162"/>
      <c r="BB104" s="162"/>
      <c r="BC104" s="162"/>
      <c r="BD104" s="162"/>
      <c r="BE104" s="162"/>
      <c r="BF104" s="162"/>
      <c r="BG104" s="162"/>
      <c r="BH104" s="162"/>
      <c r="BI104" s="162"/>
      <c r="BJ104" s="164"/>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48" t="str">
        <f t="shared" si="20"/>
        <v>01</v>
      </c>
      <c r="C105" s="149"/>
      <c r="D105" s="149"/>
      <c r="E105" s="149"/>
      <c r="F105" s="150"/>
      <c r="G105" s="151" t="s">
        <v>196</v>
      </c>
      <c r="H105" s="152"/>
      <c r="I105" s="152"/>
      <c r="J105" s="152"/>
      <c r="K105" s="152"/>
      <c r="L105" s="152"/>
      <c r="M105" s="152"/>
      <c r="N105" s="153"/>
      <c r="O105" s="79" t="s">
        <v>3216</v>
      </c>
      <c r="P105" s="165" t="s">
        <v>3076</v>
      </c>
      <c r="Q105" s="166"/>
      <c r="R105" s="166"/>
      <c r="S105" s="166"/>
      <c r="T105" s="166"/>
      <c r="U105" s="166"/>
      <c r="V105" s="166"/>
      <c r="W105" s="166"/>
      <c r="X105" s="166"/>
      <c r="Y105" s="166"/>
      <c r="Z105" s="166"/>
      <c r="AA105" s="166"/>
      <c r="AB105" s="166"/>
      <c r="AC105" s="166"/>
      <c r="AD105" s="167"/>
      <c r="AE105" s="161" t="s">
        <v>3085</v>
      </c>
      <c r="AF105" s="162"/>
      <c r="AG105" s="162"/>
      <c r="AH105" s="162"/>
      <c r="AI105" s="162"/>
      <c r="AJ105" s="162"/>
      <c r="AK105" s="162"/>
      <c r="AL105" s="163"/>
      <c r="AM105" s="161" t="s">
        <v>3086</v>
      </c>
      <c r="AN105" s="162"/>
      <c r="AO105" s="162"/>
      <c r="AP105" s="162"/>
      <c r="AQ105" s="162"/>
      <c r="AR105" s="162"/>
      <c r="AS105" s="162"/>
      <c r="AT105" s="162"/>
      <c r="AU105" s="162"/>
      <c r="AV105" s="162"/>
      <c r="AW105" s="162"/>
      <c r="AX105" s="162"/>
      <c r="AY105" s="162"/>
      <c r="AZ105" s="162"/>
      <c r="BA105" s="162"/>
      <c r="BB105" s="162"/>
      <c r="BC105" s="162"/>
      <c r="BD105" s="162"/>
      <c r="BE105" s="162"/>
      <c r="BF105" s="162"/>
      <c r="BG105" s="162"/>
      <c r="BH105" s="162"/>
      <c r="BI105" s="162"/>
      <c r="BJ105" s="164"/>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48" t="str">
        <f t="shared" si="20"/>
        <v>01</v>
      </c>
      <c r="C106" s="149"/>
      <c r="D106" s="149"/>
      <c r="E106" s="149"/>
      <c r="F106" s="150"/>
      <c r="G106" s="151" t="s">
        <v>196</v>
      </c>
      <c r="H106" s="152"/>
      <c r="I106" s="152"/>
      <c r="J106" s="152"/>
      <c r="K106" s="152"/>
      <c r="L106" s="152"/>
      <c r="M106" s="152"/>
      <c r="N106" s="153"/>
      <c r="O106" s="79" t="s">
        <v>3217</v>
      </c>
      <c r="P106" s="165" t="s">
        <v>3087</v>
      </c>
      <c r="Q106" s="166"/>
      <c r="R106" s="166"/>
      <c r="S106" s="166"/>
      <c r="T106" s="166"/>
      <c r="U106" s="166"/>
      <c r="V106" s="166"/>
      <c r="W106" s="166"/>
      <c r="X106" s="166"/>
      <c r="Y106" s="166"/>
      <c r="Z106" s="166"/>
      <c r="AA106" s="166"/>
      <c r="AB106" s="166"/>
      <c r="AC106" s="166"/>
      <c r="AD106" s="167"/>
      <c r="AE106" s="161" t="str">
        <f t="shared" ref="AE106" ca="1" si="58">IFERROR(INDIRECT(P106&amp;"!D8"),"")</f>
        <v>sny_202310_backup_text_mml_mmlre_dp</v>
      </c>
      <c r="AF106" s="162"/>
      <c r="AG106" s="162"/>
      <c r="AH106" s="162"/>
      <c r="AI106" s="162"/>
      <c r="AJ106" s="162"/>
      <c r="AK106" s="162"/>
      <c r="AL106" s="163"/>
      <c r="AM106" s="161" t="str">
        <f t="shared" ref="AM106" ca="1" si="59">IFERROR(INDIRECT(P106&amp;"!D9"),"")</f>
        <v>MML_紹介状モジュール_診療科情報テーブルから組入れ条件の第一条件で絞り込んだ結果を格納するテーブル</v>
      </c>
      <c r="AN106" s="162"/>
      <c r="AO106" s="162"/>
      <c r="AP106" s="162"/>
      <c r="AQ106" s="162"/>
      <c r="AR106" s="162"/>
      <c r="AS106" s="162"/>
      <c r="AT106" s="162"/>
      <c r="AU106" s="162"/>
      <c r="AV106" s="162"/>
      <c r="AW106" s="162"/>
      <c r="AX106" s="162"/>
      <c r="AY106" s="162"/>
      <c r="AZ106" s="162"/>
      <c r="BA106" s="162"/>
      <c r="BB106" s="162"/>
      <c r="BC106" s="162"/>
      <c r="BD106" s="162"/>
      <c r="BE106" s="162"/>
      <c r="BF106" s="162"/>
      <c r="BG106" s="162"/>
      <c r="BH106" s="162"/>
      <c r="BI106" s="162"/>
      <c r="BJ106" s="164"/>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48" t="str">
        <f>TEXT(1,"00")</f>
        <v>01</v>
      </c>
      <c r="C107" s="149"/>
      <c r="D107" s="149"/>
      <c r="E107" s="149"/>
      <c r="F107" s="150"/>
      <c r="G107" s="151" t="s">
        <v>196</v>
      </c>
      <c r="H107" s="152"/>
      <c r="I107" s="152"/>
      <c r="J107" s="152"/>
      <c r="K107" s="152"/>
      <c r="L107" s="152"/>
      <c r="M107" s="152"/>
      <c r="N107" s="153"/>
      <c r="O107" s="90" t="s">
        <v>3088</v>
      </c>
      <c r="P107" s="154" t="s">
        <v>191</v>
      </c>
      <c r="Q107" s="155"/>
      <c r="R107" s="155"/>
      <c r="S107" s="155"/>
      <c r="T107" s="155"/>
      <c r="U107" s="155"/>
      <c r="V107" s="155"/>
      <c r="W107" s="155"/>
      <c r="X107" s="155"/>
      <c r="Y107" s="155"/>
      <c r="Z107" s="155"/>
      <c r="AA107" s="155"/>
      <c r="AB107" s="155"/>
      <c r="AC107" s="155"/>
      <c r="AD107" s="156"/>
      <c r="AE107" s="157" t="str">
        <f t="shared" ref="AE107:AE112" ca="1" si="61">IFERROR(INDIRECT(P107&amp;"!D8"),"")</f>
        <v>sny_202310_backup_merge_dpc_dn</v>
      </c>
      <c r="AF107" s="158"/>
      <c r="AG107" s="158"/>
      <c r="AH107" s="158"/>
      <c r="AI107" s="158"/>
      <c r="AJ107" s="158"/>
      <c r="AK107" s="158"/>
      <c r="AL107" s="159"/>
      <c r="AM107" s="157" t="str">
        <f t="shared" ref="AM107:AM112" ca="1" si="62">IFERROR(INDIRECT(P107&amp;"!D9"),"")</f>
        <v>DPC調査データ_Dファイルテーブルから組入れ条件の第一条件で絞り込んだ結果を格納するテーブル</v>
      </c>
      <c r="AN107" s="158"/>
      <c r="AO107" s="158"/>
      <c r="AP107" s="158"/>
      <c r="AQ107" s="158"/>
      <c r="AR107" s="158"/>
      <c r="AS107" s="158"/>
      <c r="AT107" s="158"/>
      <c r="AU107" s="158"/>
      <c r="AV107" s="158"/>
      <c r="AW107" s="158"/>
      <c r="AX107" s="158"/>
      <c r="AY107" s="158"/>
      <c r="AZ107" s="158"/>
      <c r="BA107" s="158"/>
      <c r="BB107" s="158"/>
      <c r="BC107" s="158"/>
      <c r="BD107" s="158"/>
      <c r="BE107" s="158"/>
      <c r="BF107" s="158"/>
      <c r="BG107" s="158"/>
      <c r="BH107" s="158"/>
      <c r="BI107" s="158"/>
      <c r="BJ107" s="160"/>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48" t="str">
        <f>TEXT(1,"00")</f>
        <v>01</v>
      </c>
      <c r="C108" s="149"/>
      <c r="D108" s="149"/>
      <c r="E108" s="149"/>
      <c r="F108" s="150"/>
      <c r="G108" s="151" t="s">
        <v>196</v>
      </c>
      <c r="H108" s="152"/>
      <c r="I108" s="152"/>
      <c r="J108" s="152"/>
      <c r="K108" s="152"/>
      <c r="L108" s="152"/>
      <c r="M108" s="152"/>
      <c r="N108" s="153"/>
      <c r="O108" s="79" t="s">
        <v>3089</v>
      </c>
      <c r="P108" s="165" t="s">
        <v>192</v>
      </c>
      <c r="Q108" s="166"/>
      <c r="R108" s="166"/>
      <c r="S108" s="166"/>
      <c r="T108" s="166"/>
      <c r="U108" s="166"/>
      <c r="V108" s="166"/>
      <c r="W108" s="166"/>
      <c r="X108" s="166"/>
      <c r="Y108" s="166"/>
      <c r="Z108" s="166"/>
      <c r="AA108" s="166"/>
      <c r="AB108" s="166"/>
      <c r="AC108" s="166"/>
      <c r="AD108" s="167"/>
      <c r="AE108" s="161" t="str">
        <f t="shared" ca="1" si="61"/>
        <v>sny_202310_backup_merge_dpc_efn</v>
      </c>
      <c r="AF108" s="162"/>
      <c r="AG108" s="162"/>
      <c r="AH108" s="162"/>
      <c r="AI108" s="162"/>
      <c r="AJ108" s="162"/>
      <c r="AK108" s="162"/>
      <c r="AL108" s="163"/>
      <c r="AM108" s="161" t="str">
        <f t="shared" ca="1" si="62"/>
        <v>DPC調査データ_入院EF統合ファイルテーブルから組入れ条件の第一条件で絞り込んだ結果を格納するテーブル</v>
      </c>
      <c r="AN108" s="162"/>
      <c r="AO108" s="162"/>
      <c r="AP108" s="162"/>
      <c r="AQ108" s="162"/>
      <c r="AR108" s="162"/>
      <c r="AS108" s="162"/>
      <c r="AT108" s="162"/>
      <c r="AU108" s="162"/>
      <c r="AV108" s="162"/>
      <c r="AW108" s="162"/>
      <c r="AX108" s="162"/>
      <c r="AY108" s="162"/>
      <c r="AZ108" s="162"/>
      <c r="BA108" s="162"/>
      <c r="BB108" s="162"/>
      <c r="BC108" s="162"/>
      <c r="BD108" s="162"/>
      <c r="BE108" s="162"/>
      <c r="BF108" s="162"/>
      <c r="BG108" s="162"/>
      <c r="BH108" s="162"/>
      <c r="BI108" s="162"/>
      <c r="BJ108" s="164"/>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48" t="str">
        <f t="shared" ref="B109:B112" si="64">TEXT(1,"00")</f>
        <v>01</v>
      </c>
      <c r="C109" s="149"/>
      <c r="D109" s="149"/>
      <c r="E109" s="149"/>
      <c r="F109" s="150"/>
      <c r="G109" s="151" t="s">
        <v>196</v>
      </c>
      <c r="H109" s="152"/>
      <c r="I109" s="152"/>
      <c r="J109" s="152"/>
      <c r="K109" s="152"/>
      <c r="L109" s="152"/>
      <c r="M109" s="152"/>
      <c r="N109" s="153"/>
      <c r="O109" s="79" t="s">
        <v>3090</v>
      </c>
      <c r="P109" s="165" t="s">
        <v>193</v>
      </c>
      <c r="Q109" s="166"/>
      <c r="R109" s="166"/>
      <c r="S109" s="166"/>
      <c r="T109" s="166"/>
      <c r="U109" s="166"/>
      <c r="V109" s="166"/>
      <c r="W109" s="166"/>
      <c r="X109" s="166"/>
      <c r="Y109" s="166"/>
      <c r="Z109" s="166"/>
      <c r="AA109" s="166"/>
      <c r="AB109" s="166"/>
      <c r="AC109" s="166"/>
      <c r="AD109" s="167"/>
      <c r="AE109" s="161" t="str">
        <f t="shared" ca="1" si="61"/>
        <v>sny_202310_backup_merge_dpc_efg</v>
      </c>
      <c r="AF109" s="162"/>
      <c r="AG109" s="162"/>
      <c r="AH109" s="162"/>
      <c r="AI109" s="162"/>
      <c r="AJ109" s="162"/>
      <c r="AK109" s="162"/>
      <c r="AL109" s="163"/>
      <c r="AM109" s="161" t="str">
        <f t="shared" ca="1" si="62"/>
        <v>DPC調査データ_外来EF統合ファイルテーブルから組入れ条件の第一条件で絞り込んだ結果を格納するテーブル</v>
      </c>
      <c r="AN109" s="162"/>
      <c r="AO109" s="162"/>
      <c r="AP109" s="162"/>
      <c r="AQ109" s="162"/>
      <c r="AR109" s="162"/>
      <c r="AS109" s="162"/>
      <c r="AT109" s="162"/>
      <c r="AU109" s="162"/>
      <c r="AV109" s="162"/>
      <c r="AW109" s="162"/>
      <c r="AX109" s="162"/>
      <c r="AY109" s="162"/>
      <c r="AZ109" s="162"/>
      <c r="BA109" s="162"/>
      <c r="BB109" s="162"/>
      <c r="BC109" s="162"/>
      <c r="BD109" s="162"/>
      <c r="BE109" s="162"/>
      <c r="BF109" s="162"/>
      <c r="BG109" s="162"/>
      <c r="BH109" s="162"/>
      <c r="BI109" s="162"/>
      <c r="BJ109" s="164"/>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48" t="str">
        <f t="shared" si="64"/>
        <v>01</v>
      </c>
      <c r="C110" s="149"/>
      <c r="D110" s="149"/>
      <c r="E110" s="149"/>
      <c r="F110" s="150"/>
      <c r="G110" s="151" t="s">
        <v>196</v>
      </c>
      <c r="H110" s="152"/>
      <c r="I110" s="152"/>
      <c r="J110" s="152"/>
      <c r="K110" s="152"/>
      <c r="L110" s="152"/>
      <c r="M110" s="152"/>
      <c r="N110" s="153"/>
      <c r="O110" s="79" t="s">
        <v>3091</v>
      </c>
      <c r="P110" s="165" t="s">
        <v>194</v>
      </c>
      <c r="Q110" s="166"/>
      <c r="R110" s="166"/>
      <c r="S110" s="166"/>
      <c r="T110" s="166"/>
      <c r="U110" s="166"/>
      <c r="V110" s="166"/>
      <c r="W110" s="166"/>
      <c r="X110" s="166"/>
      <c r="Y110" s="166"/>
      <c r="Z110" s="166"/>
      <c r="AA110" s="166"/>
      <c r="AB110" s="166"/>
      <c r="AC110" s="166"/>
      <c r="AD110" s="167"/>
      <c r="AE110" s="161" t="str">
        <f t="shared" ca="1" si="61"/>
        <v>sny_202310_backup_merge_dpc_hn</v>
      </c>
      <c r="AF110" s="162"/>
      <c r="AG110" s="162"/>
      <c r="AH110" s="162"/>
      <c r="AI110" s="162"/>
      <c r="AJ110" s="162"/>
      <c r="AK110" s="162"/>
      <c r="AL110" s="163"/>
      <c r="AM110" s="161" t="str">
        <f t="shared" ca="1" si="62"/>
        <v>DPC調査データ_Hファイルテーブルから組入れ条件の第一条件で絞り込んだ結果を格納するテーブル</v>
      </c>
      <c r="AN110" s="162"/>
      <c r="AO110" s="162"/>
      <c r="AP110" s="162"/>
      <c r="AQ110" s="162"/>
      <c r="AR110" s="162"/>
      <c r="AS110" s="162"/>
      <c r="AT110" s="162"/>
      <c r="AU110" s="162"/>
      <c r="AV110" s="162"/>
      <c r="AW110" s="162"/>
      <c r="AX110" s="162"/>
      <c r="AY110" s="162"/>
      <c r="AZ110" s="162"/>
      <c r="BA110" s="162"/>
      <c r="BB110" s="162"/>
      <c r="BC110" s="162"/>
      <c r="BD110" s="162"/>
      <c r="BE110" s="162"/>
      <c r="BF110" s="162"/>
      <c r="BG110" s="162"/>
      <c r="BH110" s="162"/>
      <c r="BI110" s="162"/>
      <c r="BJ110" s="164"/>
      <c r="BK110" s="32" t="str">
        <f t="shared" si="63"/>
        <v>ENT_01_C1-04_バックアップ_DPC調査データ_Hファイル.sql</v>
      </c>
    </row>
    <row r="111" spans="1:64" ht="37.5" hidden="1" customHeight="1" outlineLevel="1">
      <c r="A111" s="34" t="str">
        <f t="shared" si="60"/>
        <v>バックアップ_DPC調査データ_様式1</v>
      </c>
      <c r="B111" s="148" t="str">
        <f t="shared" si="64"/>
        <v>01</v>
      </c>
      <c r="C111" s="149"/>
      <c r="D111" s="149"/>
      <c r="E111" s="149"/>
      <c r="F111" s="150"/>
      <c r="G111" s="151" t="s">
        <v>196</v>
      </c>
      <c r="H111" s="152"/>
      <c r="I111" s="152"/>
      <c r="J111" s="152"/>
      <c r="K111" s="152"/>
      <c r="L111" s="152"/>
      <c r="M111" s="152"/>
      <c r="N111" s="153"/>
      <c r="O111" s="79" t="s">
        <v>3092</v>
      </c>
      <c r="P111" s="165" t="s">
        <v>195</v>
      </c>
      <c r="Q111" s="166"/>
      <c r="R111" s="166"/>
      <c r="S111" s="166"/>
      <c r="T111" s="166"/>
      <c r="U111" s="166"/>
      <c r="V111" s="166"/>
      <c r="W111" s="166"/>
      <c r="X111" s="166"/>
      <c r="Y111" s="166"/>
      <c r="Z111" s="166"/>
      <c r="AA111" s="166"/>
      <c r="AB111" s="166"/>
      <c r="AC111" s="166"/>
      <c r="AD111" s="167"/>
      <c r="AE111" s="161" t="str">
        <f t="shared" ca="1" si="61"/>
        <v>sny_202310_backup_merge_dpc_ff1</v>
      </c>
      <c r="AF111" s="162"/>
      <c r="AG111" s="162"/>
      <c r="AH111" s="162"/>
      <c r="AI111" s="162"/>
      <c r="AJ111" s="162"/>
      <c r="AK111" s="162"/>
      <c r="AL111" s="163"/>
      <c r="AM111" s="161" t="str">
        <f t="shared" ca="1" si="62"/>
        <v>DPC調査データ_様式1テーブルから組入れ条件の第一条件で絞り込んだ結果を格納するテーブル</v>
      </c>
      <c r="AN111" s="162"/>
      <c r="AO111" s="162"/>
      <c r="AP111" s="162"/>
      <c r="AQ111" s="162"/>
      <c r="AR111" s="162"/>
      <c r="AS111" s="162"/>
      <c r="AT111" s="162"/>
      <c r="AU111" s="162"/>
      <c r="AV111" s="162"/>
      <c r="AW111" s="162"/>
      <c r="AX111" s="162"/>
      <c r="AY111" s="162"/>
      <c r="AZ111" s="162"/>
      <c r="BA111" s="162"/>
      <c r="BB111" s="162"/>
      <c r="BC111" s="162"/>
      <c r="BD111" s="162"/>
      <c r="BE111" s="162"/>
      <c r="BF111" s="162"/>
      <c r="BG111" s="162"/>
      <c r="BH111" s="162"/>
      <c r="BI111" s="162"/>
      <c r="BJ111" s="164"/>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48" t="str">
        <f t="shared" si="64"/>
        <v>01</v>
      </c>
      <c r="C112" s="149"/>
      <c r="D112" s="149"/>
      <c r="E112" s="149"/>
      <c r="F112" s="150"/>
      <c r="G112" s="151" t="s">
        <v>196</v>
      </c>
      <c r="H112" s="152"/>
      <c r="I112" s="152"/>
      <c r="J112" s="152"/>
      <c r="K112" s="152"/>
      <c r="L112" s="152"/>
      <c r="M112" s="152"/>
      <c r="N112" s="153"/>
      <c r="O112" s="79" t="s">
        <v>3093</v>
      </c>
      <c r="P112" s="165" t="s">
        <v>314</v>
      </c>
      <c r="Q112" s="166"/>
      <c r="R112" s="166"/>
      <c r="S112" s="166"/>
      <c r="T112" s="166"/>
      <c r="U112" s="166"/>
      <c r="V112" s="166"/>
      <c r="W112" s="166"/>
      <c r="X112" s="166"/>
      <c r="Y112" s="166"/>
      <c r="Z112" s="166"/>
      <c r="AA112" s="166"/>
      <c r="AB112" s="166"/>
      <c r="AC112" s="166"/>
      <c r="AD112" s="167"/>
      <c r="AE112" s="161" t="str">
        <f t="shared" ca="1" si="61"/>
        <v>sny_202310_backup_merge_dpc_ff1_a006040</v>
      </c>
      <c r="AF112" s="162"/>
      <c r="AG112" s="162"/>
      <c r="AH112" s="162"/>
      <c r="AI112" s="162"/>
      <c r="AJ112" s="162"/>
      <c r="AK112" s="162"/>
      <c r="AL112" s="163"/>
      <c r="AM112" s="161" t="str">
        <f t="shared" ca="1" si="62"/>
        <v>DPC調査データ_様式1_診断情報_併存症テーブルから組入れ条件の第一条件で絞り込んだ結果を格納するテーブル</v>
      </c>
      <c r="AN112" s="162"/>
      <c r="AO112" s="162"/>
      <c r="AP112" s="162"/>
      <c r="AQ112" s="162"/>
      <c r="AR112" s="162"/>
      <c r="AS112" s="162"/>
      <c r="AT112" s="162"/>
      <c r="AU112" s="162"/>
      <c r="AV112" s="162"/>
      <c r="AW112" s="162"/>
      <c r="AX112" s="162"/>
      <c r="AY112" s="162"/>
      <c r="AZ112" s="162"/>
      <c r="BA112" s="162"/>
      <c r="BB112" s="162"/>
      <c r="BC112" s="162"/>
      <c r="BD112" s="162"/>
      <c r="BE112" s="162"/>
      <c r="BF112" s="162"/>
      <c r="BG112" s="162"/>
      <c r="BH112" s="162"/>
      <c r="BI112" s="162"/>
      <c r="BJ112" s="164"/>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48" t="str">
        <f>TEXT(1,"00")</f>
        <v>01</v>
      </c>
      <c r="C113" s="149"/>
      <c r="D113" s="149"/>
      <c r="E113" s="149"/>
      <c r="F113" s="150"/>
      <c r="G113" s="151" t="s">
        <v>196</v>
      </c>
      <c r="H113" s="152"/>
      <c r="I113" s="152"/>
      <c r="J113" s="152"/>
      <c r="K113" s="152"/>
      <c r="L113" s="152"/>
      <c r="M113" s="152"/>
      <c r="N113" s="153"/>
      <c r="O113" s="79" t="s">
        <v>3094</v>
      </c>
      <c r="P113" s="165" t="s">
        <v>315</v>
      </c>
      <c r="Q113" s="166"/>
      <c r="R113" s="166"/>
      <c r="S113" s="166"/>
      <c r="T113" s="166"/>
      <c r="U113" s="166"/>
      <c r="V113" s="166"/>
      <c r="W113" s="166"/>
      <c r="X113" s="166"/>
      <c r="Y113" s="166"/>
      <c r="Z113" s="166"/>
      <c r="AA113" s="166"/>
      <c r="AB113" s="166"/>
      <c r="AC113" s="166"/>
      <c r="AD113" s="167"/>
      <c r="AE113" s="161" t="str">
        <f t="shared" ref="AE113" ca="1" si="65">IFERROR(INDIRECT(P113&amp;"!D8"),"")</f>
        <v>sny_202310_backup_merge_dpc_ff1_a006050</v>
      </c>
      <c r="AF113" s="162"/>
      <c r="AG113" s="162"/>
      <c r="AH113" s="162"/>
      <c r="AI113" s="162"/>
      <c r="AJ113" s="162"/>
      <c r="AK113" s="162"/>
      <c r="AL113" s="163"/>
      <c r="AM113" s="161" t="str">
        <f t="shared" ref="AM113" ca="1" si="66">IFERROR(INDIRECT(P113&amp;"!D9"),"")</f>
        <v>DPC調査データ_様式1_診断情報_続発症テーブルから組入れ条件の第一条件で絞り込んだ結果を格納するテーブル</v>
      </c>
      <c r="AN113" s="162"/>
      <c r="AO113" s="162"/>
      <c r="AP113" s="162"/>
      <c r="AQ113" s="162"/>
      <c r="AR113" s="162"/>
      <c r="AS113" s="162"/>
      <c r="AT113" s="162"/>
      <c r="AU113" s="162"/>
      <c r="AV113" s="162"/>
      <c r="AW113" s="162"/>
      <c r="AX113" s="162"/>
      <c r="AY113" s="162"/>
      <c r="AZ113" s="162"/>
      <c r="BA113" s="162"/>
      <c r="BB113" s="162"/>
      <c r="BC113" s="162"/>
      <c r="BD113" s="162"/>
      <c r="BE113" s="162"/>
      <c r="BF113" s="162"/>
      <c r="BG113" s="162"/>
      <c r="BH113" s="162"/>
      <c r="BI113" s="162"/>
      <c r="BJ113" s="164"/>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48" t="str">
        <f t="shared" ref="B114:B118" si="67">TEXT(1,"00")</f>
        <v>01</v>
      </c>
      <c r="C114" s="149"/>
      <c r="D114" s="149"/>
      <c r="E114" s="149"/>
      <c r="F114" s="150"/>
      <c r="G114" s="151" t="s">
        <v>196</v>
      </c>
      <c r="H114" s="152"/>
      <c r="I114" s="152"/>
      <c r="J114" s="152"/>
      <c r="K114" s="152"/>
      <c r="L114" s="152"/>
      <c r="M114" s="152"/>
      <c r="N114" s="153"/>
      <c r="O114" s="79" t="s">
        <v>3095</v>
      </c>
      <c r="P114" s="165" t="s">
        <v>905</v>
      </c>
      <c r="Q114" s="166"/>
      <c r="R114" s="166"/>
      <c r="S114" s="166"/>
      <c r="T114" s="166"/>
      <c r="U114" s="166"/>
      <c r="V114" s="166"/>
      <c r="W114" s="166"/>
      <c r="X114" s="166"/>
      <c r="Y114" s="166"/>
      <c r="Z114" s="166"/>
      <c r="AA114" s="166"/>
      <c r="AB114" s="166"/>
      <c r="AC114" s="166"/>
      <c r="AD114" s="167"/>
      <c r="AE114" s="161" t="str">
        <f t="shared" ref="AE114:AE152" ca="1" si="68">IFERROR(INDIRECT(P114&amp;"!D8"),"")</f>
        <v>sny_202310_backup_merge_receiptc_ir</v>
      </c>
      <c r="AF114" s="162"/>
      <c r="AG114" s="162"/>
      <c r="AH114" s="162"/>
      <c r="AI114" s="162"/>
      <c r="AJ114" s="162"/>
      <c r="AK114" s="162"/>
      <c r="AL114" s="163"/>
      <c r="AM114" s="161" t="str">
        <f t="shared" ref="AM114:AM152" ca="1" si="69">IFERROR(INDIRECT(P114&amp;"!D9"),"")</f>
        <v>医科レセプト_医療機関情報レコードテーブルから組入れ条件の第一条件で絞り込んだ結果を格納するテーブル</v>
      </c>
      <c r="AN114" s="162"/>
      <c r="AO114" s="162"/>
      <c r="AP114" s="162"/>
      <c r="AQ114" s="162"/>
      <c r="AR114" s="162"/>
      <c r="AS114" s="162"/>
      <c r="AT114" s="162"/>
      <c r="AU114" s="162"/>
      <c r="AV114" s="162"/>
      <c r="AW114" s="162"/>
      <c r="AX114" s="162"/>
      <c r="AY114" s="162"/>
      <c r="AZ114" s="162"/>
      <c r="BA114" s="162"/>
      <c r="BB114" s="162"/>
      <c r="BC114" s="162"/>
      <c r="BD114" s="162"/>
      <c r="BE114" s="162"/>
      <c r="BF114" s="162"/>
      <c r="BG114" s="162"/>
      <c r="BH114" s="162"/>
      <c r="BI114" s="162"/>
      <c r="BJ114" s="164"/>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48" t="str">
        <f t="shared" si="67"/>
        <v>01</v>
      </c>
      <c r="C115" s="149"/>
      <c r="D115" s="149"/>
      <c r="E115" s="149"/>
      <c r="F115" s="150"/>
      <c r="G115" s="151" t="s">
        <v>196</v>
      </c>
      <c r="H115" s="152"/>
      <c r="I115" s="152"/>
      <c r="J115" s="152"/>
      <c r="K115" s="152"/>
      <c r="L115" s="152"/>
      <c r="M115" s="152"/>
      <c r="N115" s="153"/>
      <c r="O115" s="79" t="s">
        <v>3096</v>
      </c>
      <c r="P115" s="165" t="s">
        <v>940</v>
      </c>
      <c r="Q115" s="166"/>
      <c r="R115" s="166"/>
      <c r="S115" s="166"/>
      <c r="T115" s="166"/>
      <c r="U115" s="166"/>
      <c r="V115" s="166"/>
      <c r="W115" s="166"/>
      <c r="X115" s="166"/>
      <c r="Y115" s="166"/>
      <c r="Z115" s="166"/>
      <c r="AA115" s="166"/>
      <c r="AB115" s="166"/>
      <c r="AC115" s="166"/>
      <c r="AD115" s="167"/>
      <c r="AE115" s="161" t="str">
        <f t="shared" ca="1" si="68"/>
        <v>sny_202310_backup_merge_receiptc_re</v>
      </c>
      <c r="AF115" s="162"/>
      <c r="AG115" s="162"/>
      <c r="AH115" s="162"/>
      <c r="AI115" s="162"/>
      <c r="AJ115" s="162"/>
      <c r="AK115" s="162"/>
      <c r="AL115" s="163"/>
      <c r="AM115" s="161" t="str">
        <f t="shared" ca="1" si="69"/>
        <v>医科レセプト_レセプト共通レコードテーブルから組入れ条件の第一条件で絞り込んだ結果を格納するテーブル</v>
      </c>
      <c r="AN115" s="162"/>
      <c r="AO115" s="162"/>
      <c r="AP115" s="162"/>
      <c r="AQ115" s="162"/>
      <c r="AR115" s="162"/>
      <c r="AS115" s="162"/>
      <c r="AT115" s="162"/>
      <c r="AU115" s="162"/>
      <c r="AV115" s="162"/>
      <c r="AW115" s="162"/>
      <c r="AX115" s="162"/>
      <c r="AY115" s="162"/>
      <c r="AZ115" s="162"/>
      <c r="BA115" s="162"/>
      <c r="BB115" s="162"/>
      <c r="BC115" s="162"/>
      <c r="BD115" s="162"/>
      <c r="BE115" s="162"/>
      <c r="BF115" s="162"/>
      <c r="BG115" s="162"/>
      <c r="BH115" s="162"/>
      <c r="BI115" s="162"/>
      <c r="BJ115" s="164"/>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48" t="str">
        <f t="shared" si="67"/>
        <v>01</v>
      </c>
      <c r="C116" s="149"/>
      <c r="D116" s="149"/>
      <c r="E116" s="149"/>
      <c r="F116" s="150"/>
      <c r="G116" s="151" t="s">
        <v>196</v>
      </c>
      <c r="H116" s="152"/>
      <c r="I116" s="152"/>
      <c r="J116" s="152"/>
      <c r="K116" s="152"/>
      <c r="L116" s="152"/>
      <c r="M116" s="152"/>
      <c r="N116" s="153"/>
      <c r="O116" s="79" t="s">
        <v>3097</v>
      </c>
      <c r="P116" s="165" t="s">
        <v>1072</v>
      </c>
      <c r="Q116" s="166"/>
      <c r="R116" s="166"/>
      <c r="S116" s="166"/>
      <c r="T116" s="166"/>
      <c r="U116" s="166"/>
      <c r="V116" s="166"/>
      <c r="W116" s="166"/>
      <c r="X116" s="166"/>
      <c r="Y116" s="166"/>
      <c r="Z116" s="166"/>
      <c r="AA116" s="166"/>
      <c r="AB116" s="166"/>
      <c r="AC116" s="166"/>
      <c r="AD116" s="167"/>
      <c r="AE116" s="161" t="str">
        <f t="shared" ca="1" si="68"/>
        <v>sny_202310_backup_merge_receiptc_sy</v>
      </c>
      <c r="AF116" s="162"/>
      <c r="AG116" s="162"/>
      <c r="AH116" s="162"/>
      <c r="AI116" s="162"/>
      <c r="AJ116" s="162"/>
      <c r="AK116" s="162"/>
      <c r="AL116" s="163"/>
      <c r="AM116" s="161" t="str">
        <f t="shared" ca="1" si="69"/>
        <v>医科レセプト_傷病名レコードテーブルから組入れ条件の第一条件で絞り込んだ結果を格納するテーブル</v>
      </c>
      <c r="AN116" s="162"/>
      <c r="AO116" s="162"/>
      <c r="AP116" s="162"/>
      <c r="AQ116" s="162"/>
      <c r="AR116" s="162"/>
      <c r="AS116" s="162"/>
      <c r="AT116" s="162"/>
      <c r="AU116" s="162"/>
      <c r="AV116" s="162"/>
      <c r="AW116" s="162"/>
      <c r="AX116" s="162"/>
      <c r="AY116" s="162"/>
      <c r="AZ116" s="162"/>
      <c r="BA116" s="162"/>
      <c r="BB116" s="162"/>
      <c r="BC116" s="162"/>
      <c r="BD116" s="162"/>
      <c r="BE116" s="162"/>
      <c r="BF116" s="162"/>
      <c r="BG116" s="162"/>
      <c r="BH116" s="162"/>
      <c r="BI116" s="162"/>
      <c r="BJ116" s="164"/>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48" t="str">
        <f t="shared" si="67"/>
        <v>01</v>
      </c>
      <c r="C117" s="149"/>
      <c r="D117" s="149"/>
      <c r="E117" s="149"/>
      <c r="F117" s="150"/>
      <c r="G117" s="151" t="s">
        <v>196</v>
      </c>
      <c r="H117" s="152"/>
      <c r="I117" s="152"/>
      <c r="J117" s="152"/>
      <c r="K117" s="152"/>
      <c r="L117" s="152"/>
      <c r="M117" s="152"/>
      <c r="N117" s="153"/>
      <c r="O117" s="79" t="s">
        <v>3098</v>
      </c>
      <c r="P117" s="165" t="s">
        <v>1121</v>
      </c>
      <c r="Q117" s="166"/>
      <c r="R117" s="166"/>
      <c r="S117" s="166"/>
      <c r="T117" s="166"/>
      <c r="U117" s="166"/>
      <c r="V117" s="166"/>
      <c r="W117" s="166"/>
      <c r="X117" s="166"/>
      <c r="Y117" s="166"/>
      <c r="Z117" s="166"/>
      <c r="AA117" s="166"/>
      <c r="AB117" s="166"/>
      <c r="AC117" s="166"/>
      <c r="AD117" s="167"/>
      <c r="AE117" s="161" t="str">
        <f t="shared" ca="1" si="68"/>
        <v>sny_202310_backup_merge_receiptc_si</v>
      </c>
      <c r="AF117" s="162"/>
      <c r="AG117" s="162"/>
      <c r="AH117" s="162"/>
      <c r="AI117" s="162"/>
      <c r="AJ117" s="162"/>
      <c r="AK117" s="162"/>
      <c r="AL117" s="163"/>
      <c r="AM117" s="161" t="str">
        <f t="shared" ca="1" si="69"/>
        <v>医科レセプト_診療行為レコードテーブルから組入れ条件の第一条件で絞り込んだ結果を格納するテーブル</v>
      </c>
      <c r="AN117" s="162"/>
      <c r="AO117" s="162"/>
      <c r="AP117" s="162"/>
      <c r="AQ117" s="162"/>
      <c r="AR117" s="162"/>
      <c r="AS117" s="162"/>
      <c r="AT117" s="162"/>
      <c r="AU117" s="162"/>
      <c r="AV117" s="162"/>
      <c r="AW117" s="162"/>
      <c r="AX117" s="162"/>
      <c r="AY117" s="162"/>
      <c r="AZ117" s="162"/>
      <c r="BA117" s="162"/>
      <c r="BB117" s="162"/>
      <c r="BC117" s="162"/>
      <c r="BD117" s="162"/>
      <c r="BE117" s="162"/>
      <c r="BF117" s="162"/>
      <c r="BG117" s="162"/>
      <c r="BH117" s="162"/>
      <c r="BI117" s="162"/>
      <c r="BJ117" s="164"/>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48" t="str">
        <f t="shared" si="67"/>
        <v>01</v>
      </c>
      <c r="C118" s="149"/>
      <c r="D118" s="149"/>
      <c r="E118" s="149"/>
      <c r="F118" s="150"/>
      <c r="G118" s="151" t="s">
        <v>196</v>
      </c>
      <c r="H118" s="152"/>
      <c r="I118" s="152"/>
      <c r="J118" s="152"/>
      <c r="K118" s="152"/>
      <c r="L118" s="152"/>
      <c r="M118" s="152"/>
      <c r="N118" s="153"/>
      <c r="O118" s="79" t="s">
        <v>3099</v>
      </c>
      <c r="P118" s="165" t="s">
        <v>1149</v>
      </c>
      <c r="Q118" s="166"/>
      <c r="R118" s="166"/>
      <c r="S118" s="166"/>
      <c r="T118" s="166"/>
      <c r="U118" s="166"/>
      <c r="V118" s="166"/>
      <c r="W118" s="166"/>
      <c r="X118" s="166"/>
      <c r="Y118" s="166"/>
      <c r="Z118" s="166"/>
      <c r="AA118" s="166"/>
      <c r="AB118" s="166"/>
      <c r="AC118" s="166"/>
      <c r="AD118" s="167"/>
      <c r="AE118" s="161" t="str">
        <f t="shared" ca="1" si="68"/>
        <v>sny_202310_backup_merge_receiptc_si_day</v>
      </c>
      <c r="AF118" s="162"/>
      <c r="AG118" s="162"/>
      <c r="AH118" s="162"/>
      <c r="AI118" s="162"/>
      <c r="AJ118" s="162"/>
      <c r="AK118" s="162"/>
      <c r="AL118" s="163"/>
      <c r="AM118" s="161" t="str">
        <f t="shared" ca="1" si="69"/>
        <v>医科レセプト_診療行為レコード_算定日情報テーブルから組入れ条件の第一条件で絞り込んだ結果を格納するテーブル</v>
      </c>
      <c r="AN118" s="162"/>
      <c r="AO118" s="162"/>
      <c r="AP118" s="162"/>
      <c r="AQ118" s="162"/>
      <c r="AR118" s="162"/>
      <c r="AS118" s="162"/>
      <c r="AT118" s="162"/>
      <c r="AU118" s="162"/>
      <c r="AV118" s="162"/>
      <c r="AW118" s="162"/>
      <c r="AX118" s="162"/>
      <c r="AY118" s="162"/>
      <c r="AZ118" s="162"/>
      <c r="BA118" s="162"/>
      <c r="BB118" s="162"/>
      <c r="BC118" s="162"/>
      <c r="BD118" s="162"/>
      <c r="BE118" s="162"/>
      <c r="BF118" s="162"/>
      <c r="BG118" s="162"/>
      <c r="BH118" s="162"/>
      <c r="BI118" s="162"/>
      <c r="BJ118" s="164"/>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48" t="str">
        <f t="shared" si="8"/>
        <v>01</v>
      </c>
      <c r="C119" s="149"/>
      <c r="D119" s="149"/>
      <c r="E119" s="149"/>
      <c r="F119" s="150"/>
      <c r="G119" s="151" t="s">
        <v>196</v>
      </c>
      <c r="H119" s="152"/>
      <c r="I119" s="152"/>
      <c r="J119" s="152"/>
      <c r="K119" s="152"/>
      <c r="L119" s="152"/>
      <c r="M119" s="152"/>
      <c r="N119" s="153"/>
      <c r="O119" s="79" t="s">
        <v>3100</v>
      </c>
      <c r="P119" s="165" t="s">
        <v>1155</v>
      </c>
      <c r="Q119" s="166"/>
      <c r="R119" s="166"/>
      <c r="S119" s="166"/>
      <c r="T119" s="166"/>
      <c r="U119" s="166"/>
      <c r="V119" s="166"/>
      <c r="W119" s="166"/>
      <c r="X119" s="166"/>
      <c r="Y119" s="166"/>
      <c r="Z119" s="166"/>
      <c r="AA119" s="166"/>
      <c r="AB119" s="166"/>
      <c r="AC119" s="166"/>
      <c r="AD119" s="167"/>
      <c r="AE119" s="161" t="str">
        <f t="shared" ca="1" si="68"/>
        <v>sny_202310_backup_merge_receiptc_iy</v>
      </c>
      <c r="AF119" s="162"/>
      <c r="AG119" s="162"/>
      <c r="AH119" s="162"/>
      <c r="AI119" s="162"/>
      <c r="AJ119" s="162"/>
      <c r="AK119" s="162"/>
      <c r="AL119" s="163"/>
      <c r="AM119" s="161" t="str">
        <f t="shared" ca="1" si="69"/>
        <v>医科レセプト_医薬品レコードテーブルから組入れ条件の第一条件で絞り込んだ結果を格納するテーブル</v>
      </c>
      <c r="AN119" s="162"/>
      <c r="AO119" s="162"/>
      <c r="AP119" s="162"/>
      <c r="AQ119" s="162"/>
      <c r="AR119" s="162"/>
      <c r="AS119" s="162"/>
      <c r="AT119" s="162"/>
      <c r="AU119" s="162"/>
      <c r="AV119" s="162"/>
      <c r="AW119" s="162"/>
      <c r="AX119" s="162"/>
      <c r="AY119" s="162"/>
      <c r="AZ119" s="162"/>
      <c r="BA119" s="162"/>
      <c r="BB119" s="162"/>
      <c r="BC119" s="162"/>
      <c r="BD119" s="162"/>
      <c r="BE119" s="162"/>
      <c r="BF119" s="162"/>
      <c r="BG119" s="162"/>
      <c r="BH119" s="162"/>
      <c r="BI119" s="162"/>
      <c r="BJ119" s="164"/>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48" t="str">
        <f t="shared" si="8"/>
        <v>01</v>
      </c>
      <c r="C120" s="149"/>
      <c r="D120" s="149"/>
      <c r="E120" s="149"/>
      <c r="F120" s="150"/>
      <c r="G120" s="151" t="s">
        <v>196</v>
      </c>
      <c r="H120" s="152"/>
      <c r="I120" s="152"/>
      <c r="J120" s="152"/>
      <c r="K120" s="152"/>
      <c r="L120" s="152"/>
      <c r="M120" s="152"/>
      <c r="N120" s="153"/>
      <c r="O120" s="79" t="s">
        <v>3101</v>
      </c>
      <c r="P120" s="165" t="s">
        <v>1156</v>
      </c>
      <c r="Q120" s="166"/>
      <c r="R120" s="166"/>
      <c r="S120" s="166"/>
      <c r="T120" s="166"/>
      <c r="U120" s="166"/>
      <c r="V120" s="166"/>
      <c r="W120" s="166"/>
      <c r="X120" s="166"/>
      <c r="Y120" s="166"/>
      <c r="Z120" s="166"/>
      <c r="AA120" s="166"/>
      <c r="AB120" s="166"/>
      <c r="AC120" s="166"/>
      <c r="AD120" s="167"/>
      <c r="AE120" s="161" t="str">
        <f t="shared" ca="1" si="68"/>
        <v>sny_202310_backup_merge_receiptc_iy_day</v>
      </c>
      <c r="AF120" s="162"/>
      <c r="AG120" s="162"/>
      <c r="AH120" s="162"/>
      <c r="AI120" s="162"/>
      <c r="AJ120" s="162"/>
      <c r="AK120" s="162"/>
      <c r="AL120" s="163"/>
      <c r="AM120" s="161" t="str">
        <f t="shared" ca="1" si="69"/>
        <v>医科レセプト_医薬品レコード_算定日情報テーブルから組入れ条件の第一条件で絞り込んだ結果を格納するテーブル</v>
      </c>
      <c r="AN120" s="162"/>
      <c r="AO120" s="162"/>
      <c r="AP120" s="162"/>
      <c r="AQ120" s="162"/>
      <c r="AR120" s="162"/>
      <c r="AS120" s="162"/>
      <c r="AT120" s="162"/>
      <c r="AU120" s="162"/>
      <c r="AV120" s="162"/>
      <c r="AW120" s="162"/>
      <c r="AX120" s="162"/>
      <c r="AY120" s="162"/>
      <c r="AZ120" s="162"/>
      <c r="BA120" s="162"/>
      <c r="BB120" s="162"/>
      <c r="BC120" s="162"/>
      <c r="BD120" s="162"/>
      <c r="BE120" s="162"/>
      <c r="BF120" s="162"/>
      <c r="BG120" s="162"/>
      <c r="BH120" s="162"/>
      <c r="BI120" s="162"/>
      <c r="BJ120" s="164"/>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48" t="str">
        <f t="shared" si="8"/>
        <v>01</v>
      </c>
      <c r="C121" s="149"/>
      <c r="D121" s="149"/>
      <c r="E121" s="149"/>
      <c r="F121" s="150"/>
      <c r="G121" s="151" t="s">
        <v>196</v>
      </c>
      <c r="H121" s="152"/>
      <c r="I121" s="152"/>
      <c r="J121" s="152"/>
      <c r="K121" s="152"/>
      <c r="L121" s="152"/>
      <c r="M121" s="152"/>
      <c r="N121" s="153"/>
      <c r="O121" s="79" t="s">
        <v>3102</v>
      </c>
      <c r="P121" s="165" t="s">
        <v>1157</v>
      </c>
      <c r="Q121" s="166"/>
      <c r="R121" s="166"/>
      <c r="S121" s="166"/>
      <c r="T121" s="166"/>
      <c r="U121" s="166"/>
      <c r="V121" s="166"/>
      <c r="W121" s="166"/>
      <c r="X121" s="166"/>
      <c r="Y121" s="166"/>
      <c r="Z121" s="166"/>
      <c r="AA121" s="166"/>
      <c r="AB121" s="166"/>
      <c r="AC121" s="166"/>
      <c r="AD121" s="167"/>
      <c r="AE121" s="161" t="str">
        <f t="shared" ca="1" si="68"/>
        <v>sny_202310_backup_merge_receiptc_tr</v>
      </c>
      <c r="AF121" s="162"/>
      <c r="AG121" s="162"/>
      <c r="AH121" s="162"/>
      <c r="AI121" s="162"/>
      <c r="AJ121" s="162"/>
      <c r="AK121" s="162"/>
      <c r="AL121" s="163"/>
      <c r="AM121" s="161" t="str">
        <f t="shared" ca="1" si="69"/>
        <v>医科レセプト_臓器提供者レセプト情報レコードテーブルから組入れ条件の第一条件で絞り込んだ結果を格納するテーブル</v>
      </c>
      <c r="AN121" s="162"/>
      <c r="AO121" s="162"/>
      <c r="AP121" s="162"/>
      <c r="AQ121" s="162"/>
      <c r="AR121" s="162"/>
      <c r="AS121" s="162"/>
      <c r="AT121" s="162"/>
      <c r="AU121" s="162"/>
      <c r="AV121" s="162"/>
      <c r="AW121" s="162"/>
      <c r="AX121" s="162"/>
      <c r="AY121" s="162"/>
      <c r="AZ121" s="162"/>
      <c r="BA121" s="162"/>
      <c r="BB121" s="162"/>
      <c r="BC121" s="162"/>
      <c r="BD121" s="162"/>
      <c r="BE121" s="162"/>
      <c r="BF121" s="162"/>
      <c r="BG121" s="162"/>
      <c r="BH121" s="162"/>
      <c r="BI121" s="162"/>
      <c r="BJ121" s="164"/>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48" t="str">
        <f t="shared" si="8"/>
        <v>01</v>
      </c>
      <c r="C122" s="149"/>
      <c r="D122" s="149"/>
      <c r="E122" s="149"/>
      <c r="F122" s="150"/>
      <c r="G122" s="151" t="s">
        <v>196</v>
      </c>
      <c r="H122" s="152"/>
      <c r="I122" s="152"/>
      <c r="J122" s="152"/>
      <c r="K122" s="152"/>
      <c r="L122" s="152"/>
      <c r="M122" s="152"/>
      <c r="N122" s="153"/>
      <c r="O122" s="79" t="s">
        <v>3103</v>
      </c>
      <c r="P122" s="165" t="s">
        <v>1198</v>
      </c>
      <c r="Q122" s="166"/>
      <c r="R122" s="166"/>
      <c r="S122" s="166"/>
      <c r="T122" s="166"/>
      <c r="U122" s="166"/>
      <c r="V122" s="166"/>
      <c r="W122" s="166"/>
      <c r="X122" s="166"/>
      <c r="Y122" s="166"/>
      <c r="Z122" s="166"/>
      <c r="AA122" s="166"/>
      <c r="AB122" s="166"/>
      <c r="AC122" s="166"/>
      <c r="AD122" s="167"/>
      <c r="AE122" s="161" t="str">
        <f t="shared" ref="AE122:AE130" ca="1" si="71">IFERROR(INDIRECT(P122&amp;"!D8"),"")</f>
        <v>sny_202310_backup_merge_receiptd_ir</v>
      </c>
      <c r="AF122" s="162"/>
      <c r="AG122" s="162"/>
      <c r="AH122" s="162"/>
      <c r="AI122" s="162"/>
      <c r="AJ122" s="162"/>
      <c r="AK122" s="162"/>
      <c r="AL122" s="163"/>
      <c r="AM122" s="161" t="str">
        <f t="shared" ref="AM122:AM130" ca="1" si="72">IFERROR(INDIRECT(P122&amp;"!D9"),"")</f>
        <v>DPCレセプト_医療機関情報レコードテーブルから組入れ条件の第一条件で絞り込んだ結果を格納するテーブル</v>
      </c>
      <c r="AN122" s="162"/>
      <c r="AO122" s="162"/>
      <c r="AP122" s="162"/>
      <c r="AQ122" s="162"/>
      <c r="AR122" s="162"/>
      <c r="AS122" s="162"/>
      <c r="AT122" s="162"/>
      <c r="AU122" s="162"/>
      <c r="AV122" s="162"/>
      <c r="AW122" s="162"/>
      <c r="AX122" s="162"/>
      <c r="AY122" s="162"/>
      <c r="AZ122" s="162"/>
      <c r="BA122" s="162"/>
      <c r="BB122" s="162"/>
      <c r="BC122" s="162"/>
      <c r="BD122" s="162"/>
      <c r="BE122" s="162"/>
      <c r="BF122" s="162"/>
      <c r="BG122" s="162"/>
      <c r="BH122" s="162"/>
      <c r="BI122" s="162"/>
      <c r="BJ122" s="164"/>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48" t="str">
        <f t="shared" si="8"/>
        <v>01</v>
      </c>
      <c r="C123" s="149"/>
      <c r="D123" s="149"/>
      <c r="E123" s="149"/>
      <c r="F123" s="150"/>
      <c r="G123" s="151" t="s">
        <v>196</v>
      </c>
      <c r="H123" s="152"/>
      <c r="I123" s="152"/>
      <c r="J123" s="152"/>
      <c r="K123" s="152"/>
      <c r="L123" s="152"/>
      <c r="M123" s="152"/>
      <c r="N123" s="153"/>
      <c r="O123" s="79" t="s">
        <v>3104</v>
      </c>
      <c r="P123" s="165" t="s">
        <v>1203</v>
      </c>
      <c r="Q123" s="166"/>
      <c r="R123" s="166"/>
      <c r="S123" s="166"/>
      <c r="T123" s="166"/>
      <c r="U123" s="166"/>
      <c r="V123" s="166"/>
      <c r="W123" s="166"/>
      <c r="X123" s="166"/>
      <c r="Y123" s="166"/>
      <c r="Z123" s="166"/>
      <c r="AA123" s="166"/>
      <c r="AB123" s="166"/>
      <c r="AC123" s="166"/>
      <c r="AD123" s="167"/>
      <c r="AE123" s="161" t="str">
        <f t="shared" ca="1" si="71"/>
        <v>sny_202310_backup_merge_receiptd_re</v>
      </c>
      <c r="AF123" s="162"/>
      <c r="AG123" s="162"/>
      <c r="AH123" s="162"/>
      <c r="AI123" s="162"/>
      <c r="AJ123" s="162"/>
      <c r="AK123" s="162"/>
      <c r="AL123" s="163"/>
      <c r="AM123" s="161" t="str">
        <f t="shared" ca="1" si="72"/>
        <v>DPCレセプト_レセプト共通レコードテーブルから組入れ条件の第一条件で絞り込んだ結果を格納するテーブル</v>
      </c>
      <c r="AN123" s="162"/>
      <c r="AO123" s="162"/>
      <c r="AP123" s="162"/>
      <c r="AQ123" s="162"/>
      <c r="AR123" s="162"/>
      <c r="AS123" s="162"/>
      <c r="AT123" s="162"/>
      <c r="AU123" s="162"/>
      <c r="AV123" s="162"/>
      <c r="AW123" s="162"/>
      <c r="AX123" s="162"/>
      <c r="AY123" s="162"/>
      <c r="AZ123" s="162"/>
      <c r="BA123" s="162"/>
      <c r="BB123" s="162"/>
      <c r="BC123" s="162"/>
      <c r="BD123" s="162"/>
      <c r="BE123" s="162"/>
      <c r="BF123" s="162"/>
      <c r="BG123" s="162"/>
      <c r="BH123" s="162"/>
      <c r="BI123" s="162"/>
      <c r="BJ123" s="164"/>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48" t="str">
        <f t="shared" si="8"/>
        <v>01</v>
      </c>
      <c r="C124" s="149"/>
      <c r="D124" s="149"/>
      <c r="E124" s="149"/>
      <c r="F124" s="150"/>
      <c r="G124" s="151" t="s">
        <v>196</v>
      </c>
      <c r="H124" s="152"/>
      <c r="I124" s="152"/>
      <c r="J124" s="152"/>
      <c r="K124" s="152"/>
      <c r="L124" s="152"/>
      <c r="M124" s="152"/>
      <c r="N124" s="153"/>
      <c r="O124" s="79" t="s">
        <v>3105</v>
      </c>
      <c r="P124" s="165" t="s">
        <v>1208</v>
      </c>
      <c r="Q124" s="166"/>
      <c r="R124" s="166"/>
      <c r="S124" s="166"/>
      <c r="T124" s="166"/>
      <c r="U124" s="166"/>
      <c r="V124" s="166"/>
      <c r="W124" s="166"/>
      <c r="X124" s="166"/>
      <c r="Y124" s="166"/>
      <c r="Z124" s="166"/>
      <c r="AA124" s="166"/>
      <c r="AB124" s="166"/>
      <c r="AC124" s="166"/>
      <c r="AD124" s="167"/>
      <c r="AE124" s="161" t="str">
        <f t="shared" ca="1" si="71"/>
        <v>sny_202310_backup_merge_receiptd_bu</v>
      </c>
      <c r="AF124" s="162"/>
      <c r="AG124" s="162"/>
      <c r="AH124" s="162"/>
      <c r="AI124" s="162"/>
      <c r="AJ124" s="162"/>
      <c r="AK124" s="162"/>
      <c r="AL124" s="163"/>
      <c r="AM124" s="161" t="str">
        <f t="shared" ca="1" si="72"/>
        <v>DPCレセプト_診断群分類レコードテーブルから組入れ条件の第一条件で絞り込んだ結果を格納するテーブル</v>
      </c>
      <c r="AN124" s="162"/>
      <c r="AO124" s="162"/>
      <c r="AP124" s="162"/>
      <c r="AQ124" s="162"/>
      <c r="AR124" s="162"/>
      <c r="AS124" s="162"/>
      <c r="AT124" s="162"/>
      <c r="AU124" s="162"/>
      <c r="AV124" s="162"/>
      <c r="AW124" s="162"/>
      <c r="AX124" s="162"/>
      <c r="AY124" s="162"/>
      <c r="AZ124" s="162"/>
      <c r="BA124" s="162"/>
      <c r="BB124" s="162"/>
      <c r="BC124" s="162"/>
      <c r="BD124" s="162"/>
      <c r="BE124" s="162"/>
      <c r="BF124" s="162"/>
      <c r="BG124" s="162"/>
      <c r="BH124" s="162"/>
      <c r="BI124" s="162"/>
      <c r="BJ124" s="164"/>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48" t="str">
        <f t="shared" si="8"/>
        <v>01</v>
      </c>
      <c r="C125" s="149"/>
      <c r="D125" s="149"/>
      <c r="E125" s="149"/>
      <c r="F125" s="150"/>
      <c r="G125" s="151" t="s">
        <v>196</v>
      </c>
      <c r="H125" s="152"/>
      <c r="I125" s="152"/>
      <c r="J125" s="152"/>
      <c r="K125" s="152"/>
      <c r="L125" s="152"/>
      <c r="M125" s="152"/>
      <c r="N125" s="153"/>
      <c r="O125" s="79" t="s">
        <v>3106</v>
      </c>
      <c r="P125" s="165" t="s">
        <v>1223</v>
      </c>
      <c r="Q125" s="166"/>
      <c r="R125" s="166"/>
      <c r="S125" s="166"/>
      <c r="T125" s="166"/>
      <c r="U125" s="166"/>
      <c r="V125" s="166"/>
      <c r="W125" s="166"/>
      <c r="X125" s="166"/>
      <c r="Y125" s="166"/>
      <c r="Z125" s="166"/>
      <c r="AA125" s="166"/>
      <c r="AB125" s="166"/>
      <c r="AC125" s="166"/>
      <c r="AD125" s="167"/>
      <c r="AE125" s="161" t="str">
        <f t="shared" ca="1" si="71"/>
        <v>sny_202310_backup_merge_receiptd_sb</v>
      </c>
      <c r="AF125" s="162"/>
      <c r="AG125" s="162"/>
      <c r="AH125" s="162"/>
      <c r="AI125" s="162"/>
      <c r="AJ125" s="162"/>
      <c r="AK125" s="162"/>
      <c r="AL125" s="163"/>
      <c r="AM125" s="161" t="str">
        <f t="shared" ca="1" si="72"/>
        <v>DPCレセプト_傷病レコードテーブルから組入れ条件の第一条件で絞り込んだ結果を格納するテーブル</v>
      </c>
      <c r="AN125" s="162"/>
      <c r="AO125" s="162"/>
      <c r="AP125" s="162"/>
      <c r="AQ125" s="162"/>
      <c r="AR125" s="162"/>
      <c r="AS125" s="162"/>
      <c r="AT125" s="162"/>
      <c r="AU125" s="162"/>
      <c r="AV125" s="162"/>
      <c r="AW125" s="162"/>
      <c r="AX125" s="162"/>
      <c r="AY125" s="162"/>
      <c r="AZ125" s="162"/>
      <c r="BA125" s="162"/>
      <c r="BB125" s="162"/>
      <c r="BC125" s="162"/>
      <c r="BD125" s="162"/>
      <c r="BE125" s="162"/>
      <c r="BF125" s="162"/>
      <c r="BG125" s="162"/>
      <c r="BH125" s="162"/>
      <c r="BI125" s="162"/>
      <c r="BJ125" s="164"/>
      <c r="BK125" s="32" t="str">
        <f t="shared" si="63"/>
        <v>ENT_01_C3-09_バックアップ_DPCレセプト_傷病レコード.sql</v>
      </c>
    </row>
    <row r="126" spans="1:64" ht="37.5" hidden="1" customHeight="1" outlineLevel="1">
      <c r="A126" s="34" t="str">
        <f t="shared" si="70"/>
        <v>バックアップ_DPCレセプト_傷病名レコード</v>
      </c>
      <c r="B126" s="148" t="str">
        <f t="shared" si="8"/>
        <v>01</v>
      </c>
      <c r="C126" s="149"/>
      <c r="D126" s="149"/>
      <c r="E126" s="149"/>
      <c r="F126" s="150"/>
      <c r="G126" s="151" t="s">
        <v>196</v>
      </c>
      <c r="H126" s="152"/>
      <c r="I126" s="152"/>
      <c r="J126" s="152"/>
      <c r="K126" s="152"/>
      <c r="L126" s="152"/>
      <c r="M126" s="152"/>
      <c r="N126" s="153"/>
      <c r="O126" s="79" t="s">
        <v>3107</v>
      </c>
      <c r="P126" s="165" t="s">
        <v>1229</v>
      </c>
      <c r="Q126" s="166"/>
      <c r="R126" s="166"/>
      <c r="S126" s="166"/>
      <c r="T126" s="166"/>
      <c r="U126" s="166"/>
      <c r="V126" s="166"/>
      <c r="W126" s="166"/>
      <c r="X126" s="166"/>
      <c r="Y126" s="166"/>
      <c r="Z126" s="166"/>
      <c r="AA126" s="166"/>
      <c r="AB126" s="166"/>
      <c r="AC126" s="166"/>
      <c r="AD126" s="167"/>
      <c r="AE126" s="161" t="str">
        <f t="shared" ca="1" si="71"/>
        <v>sny_202310_backup_merge_receiptd_sy</v>
      </c>
      <c r="AF126" s="162"/>
      <c r="AG126" s="162"/>
      <c r="AH126" s="162"/>
      <c r="AI126" s="162"/>
      <c r="AJ126" s="162"/>
      <c r="AK126" s="162"/>
      <c r="AL126" s="163"/>
      <c r="AM126" s="161" t="str">
        <f t="shared" ca="1" si="72"/>
        <v>DPCレセプト_傷病名レコードテーブルから組入れ条件の第一条件で絞り込んだ結果を格納するテーブル</v>
      </c>
      <c r="AN126" s="162"/>
      <c r="AO126" s="162"/>
      <c r="AP126" s="162"/>
      <c r="AQ126" s="162"/>
      <c r="AR126" s="162"/>
      <c r="AS126" s="162"/>
      <c r="AT126" s="162"/>
      <c r="AU126" s="162"/>
      <c r="AV126" s="162"/>
      <c r="AW126" s="162"/>
      <c r="AX126" s="162"/>
      <c r="AY126" s="162"/>
      <c r="AZ126" s="162"/>
      <c r="BA126" s="162"/>
      <c r="BB126" s="162"/>
      <c r="BC126" s="162"/>
      <c r="BD126" s="162"/>
      <c r="BE126" s="162"/>
      <c r="BF126" s="162"/>
      <c r="BG126" s="162"/>
      <c r="BH126" s="162"/>
      <c r="BI126" s="162"/>
      <c r="BJ126" s="164"/>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48" t="str">
        <f t="shared" si="8"/>
        <v>01</v>
      </c>
      <c r="C127" s="149"/>
      <c r="D127" s="149"/>
      <c r="E127" s="149"/>
      <c r="F127" s="150"/>
      <c r="G127" s="151" t="s">
        <v>196</v>
      </c>
      <c r="H127" s="152"/>
      <c r="I127" s="152"/>
      <c r="J127" s="152"/>
      <c r="K127" s="152"/>
      <c r="L127" s="152"/>
      <c r="M127" s="152"/>
      <c r="N127" s="153"/>
      <c r="O127" s="79" t="s">
        <v>3108</v>
      </c>
      <c r="P127" s="165" t="s">
        <v>1231</v>
      </c>
      <c r="Q127" s="166"/>
      <c r="R127" s="166"/>
      <c r="S127" s="166"/>
      <c r="T127" s="166"/>
      <c r="U127" s="166"/>
      <c r="V127" s="166"/>
      <c r="W127" s="166"/>
      <c r="X127" s="166"/>
      <c r="Y127" s="166"/>
      <c r="Z127" s="166"/>
      <c r="AA127" s="166"/>
      <c r="AB127" s="166"/>
      <c r="AC127" s="166"/>
      <c r="AD127" s="167"/>
      <c r="AE127" s="161" t="str">
        <f t="shared" ca="1" si="71"/>
        <v>sny_202310_backup_merge_receiptd_si</v>
      </c>
      <c r="AF127" s="162"/>
      <c r="AG127" s="162"/>
      <c r="AH127" s="162"/>
      <c r="AI127" s="162"/>
      <c r="AJ127" s="162"/>
      <c r="AK127" s="162"/>
      <c r="AL127" s="163"/>
      <c r="AM127" s="161" t="str">
        <f t="shared" ca="1" si="72"/>
        <v>DPCレセプト_診療行為レコードテーブルから組入れ条件の第一条件で絞り込んだ結果を格納するテーブル</v>
      </c>
      <c r="AN127" s="162"/>
      <c r="AO127" s="162"/>
      <c r="AP127" s="162"/>
      <c r="AQ127" s="162"/>
      <c r="AR127" s="162"/>
      <c r="AS127" s="162"/>
      <c r="AT127" s="162"/>
      <c r="AU127" s="162"/>
      <c r="AV127" s="162"/>
      <c r="AW127" s="162"/>
      <c r="AX127" s="162"/>
      <c r="AY127" s="162"/>
      <c r="AZ127" s="162"/>
      <c r="BA127" s="162"/>
      <c r="BB127" s="162"/>
      <c r="BC127" s="162"/>
      <c r="BD127" s="162"/>
      <c r="BE127" s="162"/>
      <c r="BF127" s="162"/>
      <c r="BG127" s="162"/>
      <c r="BH127" s="162"/>
      <c r="BI127" s="162"/>
      <c r="BJ127" s="164"/>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48" t="str">
        <f t="shared" si="8"/>
        <v>01</v>
      </c>
      <c r="C128" s="149"/>
      <c r="D128" s="149"/>
      <c r="E128" s="149"/>
      <c r="F128" s="150"/>
      <c r="G128" s="151" t="s">
        <v>196</v>
      </c>
      <c r="H128" s="152"/>
      <c r="I128" s="152"/>
      <c r="J128" s="152"/>
      <c r="K128" s="152"/>
      <c r="L128" s="152"/>
      <c r="M128" s="152"/>
      <c r="N128" s="153"/>
      <c r="O128" s="79" t="s">
        <v>3109</v>
      </c>
      <c r="P128" s="165" t="s">
        <v>1233</v>
      </c>
      <c r="Q128" s="166"/>
      <c r="R128" s="166"/>
      <c r="S128" s="166"/>
      <c r="T128" s="166"/>
      <c r="U128" s="166"/>
      <c r="V128" s="166"/>
      <c r="W128" s="166"/>
      <c r="X128" s="166"/>
      <c r="Y128" s="166"/>
      <c r="Z128" s="166"/>
      <c r="AA128" s="166"/>
      <c r="AB128" s="166"/>
      <c r="AC128" s="166"/>
      <c r="AD128" s="167"/>
      <c r="AE128" s="161" t="str">
        <f t="shared" ca="1" si="71"/>
        <v>sny_202310_backup_merge_receiptd_si_day</v>
      </c>
      <c r="AF128" s="162"/>
      <c r="AG128" s="162"/>
      <c r="AH128" s="162"/>
      <c r="AI128" s="162"/>
      <c r="AJ128" s="162"/>
      <c r="AK128" s="162"/>
      <c r="AL128" s="163"/>
      <c r="AM128" s="161" t="str">
        <f t="shared" ca="1" si="72"/>
        <v>DPCレセプト_診療行為レコード_算定日情報テーブルから組入れ条件の第一条件で絞り込んだ結果を格納するテーブル</v>
      </c>
      <c r="AN128" s="162"/>
      <c r="AO128" s="162"/>
      <c r="AP128" s="162"/>
      <c r="AQ128" s="162"/>
      <c r="AR128" s="162"/>
      <c r="AS128" s="162"/>
      <c r="AT128" s="162"/>
      <c r="AU128" s="162"/>
      <c r="AV128" s="162"/>
      <c r="AW128" s="162"/>
      <c r="AX128" s="162"/>
      <c r="AY128" s="162"/>
      <c r="AZ128" s="162"/>
      <c r="BA128" s="162"/>
      <c r="BB128" s="162"/>
      <c r="BC128" s="162"/>
      <c r="BD128" s="162"/>
      <c r="BE128" s="162"/>
      <c r="BF128" s="162"/>
      <c r="BG128" s="162"/>
      <c r="BH128" s="162"/>
      <c r="BI128" s="162"/>
      <c r="BJ128" s="164"/>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48" t="str">
        <f t="shared" si="8"/>
        <v>01</v>
      </c>
      <c r="C129" s="149"/>
      <c r="D129" s="149"/>
      <c r="E129" s="149"/>
      <c r="F129" s="150"/>
      <c r="G129" s="151" t="s">
        <v>196</v>
      </c>
      <c r="H129" s="152"/>
      <c r="I129" s="152"/>
      <c r="J129" s="152"/>
      <c r="K129" s="152"/>
      <c r="L129" s="152"/>
      <c r="M129" s="152"/>
      <c r="N129" s="153"/>
      <c r="O129" s="79" t="s">
        <v>3110</v>
      </c>
      <c r="P129" s="165" t="s">
        <v>1236</v>
      </c>
      <c r="Q129" s="166"/>
      <c r="R129" s="166"/>
      <c r="S129" s="166"/>
      <c r="T129" s="166"/>
      <c r="U129" s="166"/>
      <c r="V129" s="166"/>
      <c r="W129" s="166"/>
      <c r="X129" s="166"/>
      <c r="Y129" s="166"/>
      <c r="Z129" s="166"/>
      <c r="AA129" s="166"/>
      <c r="AB129" s="166"/>
      <c r="AC129" s="166"/>
      <c r="AD129" s="167"/>
      <c r="AE129" s="161" t="str">
        <f t="shared" ca="1" si="71"/>
        <v>sny_202310_backup_merge_receiptd_iy</v>
      </c>
      <c r="AF129" s="162"/>
      <c r="AG129" s="162"/>
      <c r="AH129" s="162"/>
      <c r="AI129" s="162"/>
      <c r="AJ129" s="162"/>
      <c r="AK129" s="162"/>
      <c r="AL129" s="163"/>
      <c r="AM129" s="161" t="str">
        <f t="shared" ca="1" si="72"/>
        <v>DPCレセプト_医薬品レコードテーブルから組入れ条件の第一条件で絞り込んだ結果を格納するテーブル</v>
      </c>
      <c r="AN129" s="162"/>
      <c r="AO129" s="162"/>
      <c r="AP129" s="162"/>
      <c r="AQ129" s="162"/>
      <c r="AR129" s="162"/>
      <c r="AS129" s="162"/>
      <c r="AT129" s="162"/>
      <c r="AU129" s="162"/>
      <c r="AV129" s="162"/>
      <c r="AW129" s="162"/>
      <c r="AX129" s="162"/>
      <c r="AY129" s="162"/>
      <c r="AZ129" s="162"/>
      <c r="BA129" s="162"/>
      <c r="BB129" s="162"/>
      <c r="BC129" s="162"/>
      <c r="BD129" s="162"/>
      <c r="BE129" s="162"/>
      <c r="BF129" s="162"/>
      <c r="BG129" s="162"/>
      <c r="BH129" s="162"/>
      <c r="BI129" s="162"/>
      <c r="BJ129" s="164"/>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48" t="str">
        <f t="shared" si="8"/>
        <v>01</v>
      </c>
      <c r="C130" s="149"/>
      <c r="D130" s="149"/>
      <c r="E130" s="149"/>
      <c r="F130" s="150"/>
      <c r="G130" s="151" t="s">
        <v>196</v>
      </c>
      <c r="H130" s="152"/>
      <c r="I130" s="152"/>
      <c r="J130" s="152"/>
      <c r="K130" s="152"/>
      <c r="L130" s="152"/>
      <c r="M130" s="152"/>
      <c r="N130" s="153"/>
      <c r="O130" s="79" t="s">
        <v>3111</v>
      </c>
      <c r="P130" s="165" t="s">
        <v>1238</v>
      </c>
      <c r="Q130" s="166"/>
      <c r="R130" s="166"/>
      <c r="S130" s="166"/>
      <c r="T130" s="166"/>
      <c r="U130" s="166"/>
      <c r="V130" s="166"/>
      <c r="W130" s="166"/>
      <c r="X130" s="166"/>
      <c r="Y130" s="166"/>
      <c r="Z130" s="166"/>
      <c r="AA130" s="166"/>
      <c r="AB130" s="166"/>
      <c r="AC130" s="166"/>
      <c r="AD130" s="167"/>
      <c r="AE130" s="161" t="str">
        <f t="shared" ca="1" si="71"/>
        <v>sny_202310_backup_merge_receiptd_iy_day</v>
      </c>
      <c r="AF130" s="162"/>
      <c r="AG130" s="162"/>
      <c r="AH130" s="162"/>
      <c r="AI130" s="162"/>
      <c r="AJ130" s="162"/>
      <c r="AK130" s="162"/>
      <c r="AL130" s="163"/>
      <c r="AM130" s="161" t="str">
        <f t="shared" ca="1" si="72"/>
        <v>DPCレセプト_医薬品レコード_算定日情報テーブルから組入れ条件の第一条件で絞り込んだ結果を格納するテーブル</v>
      </c>
      <c r="AN130" s="162"/>
      <c r="AO130" s="162"/>
      <c r="AP130" s="162"/>
      <c r="AQ130" s="162"/>
      <c r="AR130" s="162"/>
      <c r="AS130" s="162"/>
      <c r="AT130" s="162"/>
      <c r="AU130" s="162"/>
      <c r="AV130" s="162"/>
      <c r="AW130" s="162"/>
      <c r="AX130" s="162"/>
      <c r="AY130" s="162"/>
      <c r="AZ130" s="162"/>
      <c r="BA130" s="162"/>
      <c r="BB130" s="162"/>
      <c r="BC130" s="162"/>
      <c r="BD130" s="162"/>
      <c r="BE130" s="162"/>
      <c r="BF130" s="162"/>
      <c r="BG130" s="162"/>
      <c r="BH130" s="162"/>
      <c r="BI130" s="162"/>
      <c r="BJ130" s="164"/>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48" t="str">
        <f t="shared" si="8"/>
        <v>01</v>
      </c>
      <c r="C131" s="149"/>
      <c r="D131" s="149"/>
      <c r="E131" s="149"/>
      <c r="F131" s="150"/>
      <c r="G131" s="151" t="s">
        <v>196</v>
      </c>
      <c r="H131" s="152"/>
      <c r="I131" s="152"/>
      <c r="J131" s="152"/>
      <c r="K131" s="152"/>
      <c r="L131" s="152"/>
      <c r="M131" s="152"/>
      <c r="N131" s="153"/>
      <c r="O131" s="79" t="s">
        <v>3112</v>
      </c>
      <c r="P131" s="165" t="s">
        <v>1240</v>
      </c>
      <c r="Q131" s="166"/>
      <c r="R131" s="166"/>
      <c r="S131" s="166"/>
      <c r="T131" s="166"/>
      <c r="U131" s="166"/>
      <c r="V131" s="166"/>
      <c r="W131" s="166"/>
      <c r="X131" s="166"/>
      <c r="Y131" s="166"/>
      <c r="Z131" s="166"/>
      <c r="AA131" s="166"/>
      <c r="AB131" s="166"/>
      <c r="AC131" s="166"/>
      <c r="AD131" s="167"/>
      <c r="AE131" s="161" t="str">
        <f t="shared" ca="1" si="68"/>
        <v>sny_202310_backup_merge_receiptd_tr</v>
      </c>
      <c r="AF131" s="162"/>
      <c r="AG131" s="162"/>
      <c r="AH131" s="162"/>
      <c r="AI131" s="162"/>
      <c r="AJ131" s="162"/>
      <c r="AK131" s="162"/>
      <c r="AL131" s="163"/>
      <c r="AM131" s="161" t="str">
        <f t="shared" ca="1" si="69"/>
        <v>DPCレセプト_臓器提供者レセプト情報レコードテーブルから組入れ条件の第一条件で絞り込んだ結果を格納するテーブル</v>
      </c>
      <c r="AN131" s="162"/>
      <c r="AO131" s="162"/>
      <c r="AP131" s="162"/>
      <c r="AQ131" s="162"/>
      <c r="AR131" s="162"/>
      <c r="AS131" s="162"/>
      <c r="AT131" s="162"/>
      <c r="AU131" s="162"/>
      <c r="AV131" s="162"/>
      <c r="AW131" s="162"/>
      <c r="AX131" s="162"/>
      <c r="AY131" s="162"/>
      <c r="AZ131" s="162"/>
      <c r="BA131" s="162"/>
      <c r="BB131" s="162"/>
      <c r="BC131" s="162"/>
      <c r="BD131" s="162"/>
      <c r="BE131" s="162"/>
      <c r="BF131" s="162"/>
      <c r="BG131" s="162"/>
      <c r="BH131" s="162"/>
      <c r="BI131" s="162"/>
      <c r="BJ131" s="164"/>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48" t="str">
        <f t="shared" si="8"/>
        <v>01</v>
      </c>
      <c r="C132" s="149"/>
      <c r="D132" s="149"/>
      <c r="E132" s="149"/>
      <c r="F132" s="150"/>
      <c r="G132" s="151" t="s">
        <v>196</v>
      </c>
      <c r="H132" s="152"/>
      <c r="I132" s="152"/>
      <c r="J132" s="152"/>
      <c r="K132" s="152"/>
      <c r="L132" s="152"/>
      <c r="M132" s="152"/>
      <c r="N132" s="153"/>
      <c r="O132" s="79" t="s">
        <v>3113</v>
      </c>
      <c r="P132" s="165" t="s">
        <v>1242</v>
      </c>
      <c r="Q132" s="166"/>
      <c r="R132" s="166"/>
      <c r="S132" s="166"/>
      <c r="T132" s="166"/>
      <c r="U132" s="166"/>
      <c r="V132" s="166"/>
      <c r="W132" s="166"/>
      <c r="X132" s="166"/>
      <c r="Y132" s="166"/>
      <c r="Z132" s="166"/>
      <c r="AA132" s="166"/>
      <c r="AB132" s="166"/>
      <c r="AC132" s="166"/>
      <c r="AD132" s="167"/>
      <c r="AE132" s="161" t="str">
        <f t="shared" ca="1" si="68"/>
        <v>sny_202310_backup_merge_mml_pi_master</v>
      </c>
      <c r="AF132" s="162"/>
      <c r="AG132" s="162"/>
      <c r="AH132" s="162"/>
      <c r="AI132" s="162"/>
      <c r="AJ132" s="162"/>
      <c r="AK132" s="162"/>
      <c r="AL132" s="163"/>
      <c r="AM132" s="161" t="str">
        <f t="shared" ca="1" si="69"/>
        <v>患者情報モジュール_患者情報テーブルから組入れ条件の第一条件で絞り込んだ結果を格納するテーブル</v>
      </c>
      <c r="AN132" s="162"/>
      <c r="AO132" s="162"/>
      <c r="AP132" s="162"/>
      <c r="AQ132" s="162"/>
      <c r="AR132" s="162"/>
      <c r="AS132" s="162"/>
      <c r="AT132" s="162"/>
      <c r="AU132" s="162"/>
      <c r="AV132" s="162"/>
      <c r="AW132" s="162"/>
      <c r="AX132" s="162"/>
      <c r="AY132" s="162"/>
      <c r="AZ132" s="162"/>
      <c r="BA132" s="162"/>
      <c r="BB132" s="162"/>
      <c r="BC132" s="162"/>
      <c r="BD132" s="162"/>
      <c r="BE132" s="162"/>
      <c r="BF132" s="162"/>
      <c r="BG132" s="162"/>
      <c r="BH132" s="162"/>
      <c r="BI132" s="162"/>
      <c r="BJ132" s="164"/>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48" t="str">
        <f t="shared" si="8"/>
        <v>01</v>
      </c>
      <c r="C133" s="149"/>
      <c r="D133" s="149"/>
      <c r="E133" s="149"/>
      <c r="F133" s="150"/>
      <c r="G133" s="151" t="s">
        <v>196</v>
      </c>
      <c r="H133" s="152"/>
      <c r="I133" s="152"/>
      <c r="J133" s="152"/>
      <c r="K133" s="152"/>
      <c r="L133" s="152"/>
      <c r="M133" s="152"/>
      <c r="N133" s="153"/>
      <c r="O133" s="79" t="s">
        <v>3114</v>
      </c>
      <c r="P133" s="165" t="s">
        <v>1300</v>
      </c>
      <c r="Q133" s="166"/>
      <c r="R133" s="166"/>
      <c r="S133" s="166"/>
      <c r="T133" s="166"/>
      <c r="U133" s="166"/>
      <c r="V133" s="166"/>
      <c r="W133" s="166"/>
      <c r="X133" s="166"/>
      <c r="Y133" s="166"/>
      <c r="Z133" s="166"/>
      <c r="AA133" s="166"/>
      <c r="AB133" s="166"/>
      <c r="AC133" s="166"/>
      <c r="AD133" s="167"/>
      <c r="AE133" s="161" t="str">
        <f t="shared" ca="1" si="68"/>
        <v>sny_202310_backup_merge_mml_rd_register</v>
      </c>
      <c r="AF133" s="162"/>
      <c r="AG133" s="162"/>
      <c r="AH133" s="162"/>
      <c r="AI133" s="162"/>
      <c r="AJ133" s="162"/>
      <c r="AK133" s="162"/>
      <c r="AL133" s="163"/>
      <c r="AM133" s="161" t="str">
        <f t="shared" ca="1" si="69"/>
        <v>診断履歴情報モジュール_診断履歴情報レコードテーブルから組入れ条件の第一条件で絞り込んだ結果を格納するテーブル</v>
      </c>
      <c r="AN133" s="162"/>
      <c r="AO133" s="162"/>
      <c r="AP133" s="162"/>
      <c r="AQ133" s="162"/>
      <c r="AR133" s="162"/>
      <c r="AS133" s="162"/>
      <c r="AT133" s="162"/>
      <c r="AU133" s="162"/>
      <c r="AV133" s="162"/>
      <c r="AW133" s="162"/>
      <c r="AX133" s="162"/>
      <c r="AY133" s="162"/>
      <c r="AZ133" s="162"/>
      <c r="BA133" s="162"/>
      <c r="BB133" s="162"/>
      <c r="BC133" s="162"/>
      <c r="BD133" s="162"/>
      <c r="BE133" s="162"/>
      <c r="BF133" s="162"/>
      <c r="BG133" s="162"/>
      <c r="BH133" s="162"/>
      <c r="BI133" s="162"/>
      <c r="BJ133" s="164"/>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48" t="str">
        <f t="shared" si="8"/>
        <v>01</v>
      </c>
      <c r="C134" s="149"/>
      <c r="D134" s="149"/>
      <c r="E134" s="149"/>
      <c r="F134" s="150"/>
      <c r="G134" s="151" t="s">
        <v>196</v>
      </c>
      <c r="H134" s="152"/>
      <c r="I134" s="152"/>
      <c r="J134" s="152"/>
      <c r="K134" s="152"/>
      <c r="L134" s="152"/>
      <c r="M134" s="152"/>
      <c r="N134" s="153"/>
      <c r="O134" s="79" t="s">
        <v>3115</v>
      </c>
      <c r="P134" s="165" t="s">
        <v>1319</v>
      </c>
      <c r="Q134" s="166"/>
      <c r="R134" s="166"/>
      <c r="S134" s="166"/>
      <c r="T134" s="166"/>
      <c r="U134" s="166"/>
      <c r="V134" s="166"/>
      <c r="W134" s="166"/>
      <c r="X134" s="166"/>
      <c r="Y134" s="166"/>
      <c r="Z134" s="166"/>
      <c r="AA134" s="166"/>
      <c r="AB134" s="166"/>
      <c r="AC134" s="166"/>
      <c r="AD134" s="167"/>
      <c r="AE134" s="161" t="str">
        <f t="shared" ca="1" si="68"/>
        <v>sny_202310_backup_merge_mml_rd_byomei</v>
      </c>
      <c r="AF134" s="162"/>
      <c r="AG134" s="162"/>
      <c r="AH134" s="162"/>
      <c r="AI134" s="162"/>
      <c r="AJ134" s="162"/>
      <c r="AK134" s="162"/>
      <c r="AL134" s="163"/>
      <c r="AM134" s="161" t="str">
        <f t="shared" ca="1" si="69"/>
        <v>診断履歴情報モジュール_診断病名レコードテーブルから組入れ条件の第一条件で絞り込んだ結果を格納するテーブル</v>
      </c>
      <c r="AN134" s="162"/>
      <c r="AO134" s="162"/>
      <c r="AP134" s="162"/>
      <c r="AQ134" s="162"/>
      <c r="AR134" s="162"/>
      <c r="AS134" s="162"/>
      <c r="AT134" s="162"/>
      <c r="AU134" s="162"/>
      <c r="AV134" s="162"/>
      <c r="AW134" s="162"/>
      <c r="AX134" s="162"/>
      <c r="AY134" s="162"/>
      <c r="AZ134" s="162"/>
      <c r="BA134" s="162"/>
      <c r="BB134" s="162"/>
      <c r="BC134" s="162"/>
      <c r="BD134" s="162"/>
      <c r="BE134" s="162"/>
      <c r="BF134" s="162"/>
      <c r="BG134" s="162"/>
      <c r="BH134" s="162"/>
      <c r="BI134" s="162"/>
      <c r="BJ134" s="164"/>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48" t="str">
        <f t="shared" si="8"/>
        <v>01</v>
      </c>
      <c r="C135" s="149"/>
      <c r="D135" s="149"/>
      <c r="E135" s="149"/>
      <c r="F135" s="150"/>
      <c r="G135" s="151" t="s">
        <v>196</v>
      </c>
      <c r="H135" s="152"/>
      <c r="I135" s="152"/>
      <c r="J135" s="152"/>
      <c r="K135" s="152"/>
      <c r="L135" s="152"/>
      <c r="M135" s="152"/>
      <c r="N135" s="153"/>
      <c r="O135" s="79" t="s">
        <v>3116</v>
      </c>
      <c r="P135" s="165" t="s">
        <v>1333</v>
      </c>
      <c r="Q135" s="166"/>
      <c r="R135" s="166"/>
      <c r="S135" s="166"/>
      <c r="T135" s="166"/>
      <c r="U135" s="166"/>
      <c r="V135" s="166"/>
      <c r="W135" s="166"/>
      <c r="X135" s="166"/>
      <c r="Y135" s="166"/>
      <c r="Z135" s="166"/>
      <c r="AA135" s="166"/>
      <c r="AB135" s="166"/>
      <c r="AC135" s="166"/>
      <c r="AD135" s="167"/>
      <c r="AE135" s="161" t="str">
        <f t="shared" ca="1" si="68"/>
        <v>sny_202310_backup_merge_mml_rd_category</v>
      </c>
      <c r="AF135" s="162"/>
      <c r="AG135" s="162"/>
      <c r="AH135" s="162"/>
      <c r="AI135" s="162"/>
      <c r="AJ135" s="162"/>
      <c r="AK135" s="162"/>
      <c r="AL135" s="163"/>
      <c r="AM135" s="161" t="str">
        <f t="shared" ca="1" si="69"/>
        <v>診断履歴情報モジュール_診断分類レコードテーブルから組入れ条件の第一条件で絞り込んだ結果を格納するテーブル</v>
      </c>
      <c r="AN135" s="162"/>
      <c r="AO135" s="162"/>
      <c r="AP135" s="162"/>
      <c r="AQ135" s="162"/>
      <c r="AR135" s="162"/>
      <c r="AS135" s="162"/>
      <c r="AT135" s="162"/>
      <c r="AU135" s="162"/>
      <c r="AV135" s="162"/>
      <c r="AW135" s="162"/>
      <c r="AX135" s="162"/>
      <c r="AY135" s="162"/>
      <c r="AZ135" s="162"/>
      <c r="BA135" s="162"/>
      <c r="BB135" s="162"/>
      <c r="BC135" s="162"/>
      <c r="BD135" s="162"/>
      <c r="BE135" s="162"/>
      <c r="BF135" s="162"/>
      <c r="BG135" s="162"/>
      <c r="BH135" s="162"/>
      <c r="BI135" s="162"/>
      <c r="BJ135" s="164"/>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48" t="str">
        <f t="shared" si="8"/>
        <v>01</v>
      </c>
      <c r="C136" s="149"/>
      <c r="D136" s="149"/>
      <c r="E136" s="149"/>
      <c r="F136" s="150"/>
      <c r="G136" s="151" t="s">
        <v>196</v>
      </c>
      <c r="H136" s="152"/>
      <c r="I136" s="152"/>
      <c r="J136" s="152"/>
      <c r="K136" s="152"/>
      <c r="L136" s="152"/>
      <c r="M136" s="152"/>
      <c r="N136" s="153"/>
      <c r="O136" s="79" t="s">
        <v>3117</v>
      </c>
      <c r="P136" s="165" t="s">
        <v>1344</v>
      </c>
      <c r="Q136" s="166"/>
      <c r="R136" s="166"/>
      <c r="S136" s="166"/>
      <c r="T136" s="166"/>
      <c r="U136" s="166"/>
      <c r="V136" s="166"/>
      <c r="W136" s="166"/>
      <c r="X136" s="166"/>
      <c r="Y136" s="166"/>
      <c r="Z136" s="166"/>
      <c r="AA136" s="166"/>
      <c r="AB136" s="166"/>
      <c r="AC136" s="166"/>
      <c r="AD136" s="167"/>
      <c r="AE136" s="161" t="str">
        <f t="shared" ca="1" si="68"/>
        <v>sny_202310_backup_merge_mml_pc_progress_course</v>
      </c>
      <c r="AF136" s="162"/>
      <c r="AG136" s="162"/>
      <c r="AH136" s="162"/>
      <c r="AI136" s="162"/>
      <c r="AJ136" s="162"/>
      <c r="AK136" s="162"/>
      <c r="AL136" s="163"/>
      <c r="AM136" s="161" t="str">
        <f t="shared" ca="1" si="69"/>
        <v>経過記録情報モジュール_経過記録情報レコードテーブルから組入れ条件の第一条件で絞り込んだ結果を格納するテーブル</v>
      </c>
      <c r="AN136" s="162"/>
      <c r="AO136" s="162"/>
      <c r="AP136" s="162"/>
      <c r="AQ136" s="162"/>
      <c r="AR136" s="162"/>
      <c r="AS136" s="162"/>
      <c r="AT136" s="162"/>
      <c r="AU136" s="162"/>
      <c r="AV136" s="162"/>
      <c r="AW136" s="162"/>
      <c r="AX136" s="162"/>
      <c r="AY136" s="162"/>
      <c r="AZ136" s="162"/>
      <c r="BA136" s="162"/>
      <c r="BB136" s="162"/>
      <c r="BC136" s="162"/>
      <c r="BD136" s="162"/>
      <c r="BE136" s="162"/>
      <c r="BF136" s="162"/>
      <c r="BG136" s="162"/>
      <c r="BH136" s="162"/>
      <c r="BI136" s="162"/>
      <c r="BJ136" s="164"/>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48" t="str">
        <f t="shared" si="8"/>
        <v>01</v>
      </c>
      <c r="C137" s="149"/>
      <c r="D137" s="149"/>
      <c r="E137" s="149"/>
      <c r="F137" s="150"/>
      <c r="G137" s="151" t="s">
        <v>196</v>
      </c>
      <c r="H137" s="152"/>
      <c r="I137" s="152"/>
      <c r="J137" s="152"/>
      <c r="K137" s="152"/>
      <c r="L137" s="152"/>
      <c r="M137" s="152"/>
      <c r="N137" s="153"/>
      <c r="O137" s="79" t="s">
        <v>3118</v>
      </c>
      <c r="P137" s="165" t="s">
        <v>1352</v>
      </c>
      <c r="Q137" s="166"/>
      <c r="R137" s="166"/>
      <c r="S137" s="166"/>
      <c r="T137" s="166"/>
      <c r="U137" s="166"/>
      <c r="V137" s="166"/>
      <c r="W137" s="166"/>
      <c r="X137" s="166"/>
      <c r="Y137" s="166"/>
      <c r="Z137" s="166"/>
      <c r="AA137" s="166"/>
      <c r="AB137" s="166"/>
      <c r="AC137" s="166"/>
      <c r="AD137" s="167"/>
      <c r="AE137" s="161" t="str">
        <f t="shared" ca="1" si="68"/>
        <v>sny_202310_backup_merge_mml_pc_problem</v>
      </c>
      <c r="AF137" s="162"/>
      <c r="AG137" s="162"/>
      <c r="AH137" s="162"/>
      <c r="AI137" s="162"/>
      <c r="AJ137" s="162"/>
      <c r="AK137" s="162"/>
      <c r="AL137" s="163"/>
      <c r="AM137" s="161" t="str">
        <f t="shared" ca="1" si="69"/>
        <v>経過記録情報モジュール_プロブレムレコードテーブルから組入れ条件の第一条件で絞り込んだ結果を格納するテーブル</v>
      </c>
      <c r="AN137" s="162"/>
      <c r="AO137" s="162"/>
      <c r="AP137" s="162"/>
      <c r="AQ137" s="162"/>
      <c r="AR137" s="162"/>
      <c r="AS137" s="162"/>
      <c r="AT137" s="162"/>
      <c r="AU137" s="162"/>
      <c r="AV137" s="162"/>
      <c r="AW137" s="162"/>
      <c r="AX137" s="162"/>
      <c r="AY137" s="162"/>
      <c r="AZ137" s="162"/>
      <c r="BA137" s="162"/>
      <c r="BB137" s="162"/>
      <c r="BC137" s="162"/>
      <c r="BD137" s="162"/>
      <c r="BE137" s="162"/>
      <c r="BF137" s="162"/>
      <c r="BG137" s="162"/>
      <c r="BH137" s="162"/>
      <c r="BI137" s="162"/>
      <c r="BJ137" s="164"/>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48" t="str">
        <f t="shared" si="8"/>
        <v>01</v>
      </c>
      <c r="C138" s="149"/>
      <c r="D138" s="149"/>
      <c r="E138" s="149"/>
      <c r="F138" s="150"/>
      <c r="G138" s="151" t="s">
        <v>196</v>
      </c>
      <c r="H138" s="152"/>
      <c r="I138" s="152"/>
      <c r="J138" s="152"/>
      <c r="K138" s="152"/>
      <c r="L138" s="152"/>
      <c r="M138" s="152"/>
      <c r="N138" s="153"/>
      <c r="O138" s="79" t="s">
        <v>3119</v>
      </c>
      <c r="P138" s="165" t="s">
        <v>1390</v>
      </c>
      <c r="Q138" s="166"/>
      <c r="R138" s="166"/>
      <c r="S138" s="166"/>
      <c r="T138" s="166"/>
      <c r="U138" s="166"/>
      <c r="V138" s="166"/>
      <c r="W138" s="166"/>
      <c r="X138" s="166"/>
      <c r="Y138" s="166"/>
      <c r="Z138" s="166"/>
      <c r="AA138" s="166"/>
      <c r="AB138" s="166"/>
      <c r="AC138" s="166"/>
      <c r="AD138" s="167"/>
      <c r="AE138" s="161" t="str">
        <f t="shared" ca="1" si="68"/>
        <v>sny_202310_backup_merge_mml_pc_physical_exam</v>
      </c>
      <c r="AF138" s="162"/>
      <c r="AG138" s="162"/>
      <c r="AH138" s="162"/>
      <c r="AI138" s="162"/>
      <c r="AJ138" s="162"/>
      <c r="AK138" s="162"/>
      <c r="AL138" s="163"/>
      <c r="AM138" s="161" t="str">
        <f t="shared" ca="1" si="69"/>
        <v>経過記録情報モジュール_身体所見レコードテーブルから組入れ条件の第一条件で絞り込んだ結果を格納するテーブル</v>
      </c>
      <c r="AN138" s="162"/>
      <c r="AO138" s="162"/>
      <c r="AP138" s="162"/>
      <c r="AQ138" s="162"/>
      <c r="AR138" s="162"/>
      <c r="AS138" s="162"/>
      <c r="AT138" s="162"/>
      <c r="AU138" s="162"/>
      <c r="AV138" s="162"/>
      <c r="AW138" s="162"/>
      <c r="AX138" s="162"/>
      <c r="AY138" s="162"/>
      <c r="AZ138" s="162"/>
      <c r="BA138" s="162"/>
      <c r="BB138" s="162"/>
      <c r="BC138" s="162"/>
      <c r="BD138" s="162"/>
      <c r="BE138" s="162"/>
      <c r="BF138" s="162"/>
      <c r="BG138" s="162"/>
      <c r="BH138" s="162"/>
      <c r="BI138" s="162"/>
      <c r="BJ138" s="164"/>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48" t="str">
        <f t="shared" si="8"/>
        <v>01</v>
      </c>
      <c r="C139" s="149"/>
      <c r="D139" s="149"/>
      <c r="E139" s="149"/>
      <c r="F139" s="150"/>
      <c r="G139" s="151" t="s">
        <v>196</v>
      </c>
      <c r="H139" s="152"/>
      <c r="I139" s="152"/>
      <c r="J139" s="152"/>
      <c r="K139" s="152"/>
      <c r="L139" s="152"/>
      <c r="M139" s="152"/>
      <c r="N139" s="153"/>
      <c r="O139" s="79" t="s">
        <v>3120</v>
      </c>
      <c r="P139" s="165" t="s">
        <v>1404</v>
      </c>
      <c r="Q139" s="166"/>
      <c r="R139" s="166"/>
      <c r="S139" s="166"/>
      <c r="T139" s="166"/>
      <c r="U139" s="166"/>
      <c r="V139" s="166"/>
      <c r="W139" s="166"/>
      <c r="X139" s="166"/>
      <c r="Y139" s="166"/>
      <c r="Z139" s="166"/>
      <c r="AA139" s="166"/>
      <c r="AB139" s="166"/>
      <c r="AC139" s="166"/>
      <c r="AD139" s="167"/>
      <c r="AE139" s="161" t="str">
        <f t="shared" ca="1" si="68"/>
        <v>sny_202310_backup_merge_mml_pc_assessment</v>
      </c>
      <c r="AF139" s="162"/>
      <c r="AG139" s="162"/>
      <c r="AH139" s="162"/>
      <c r="AI139" s="162"/>
      <c r="AJ139" s="162"/>
      <c r="AK139" s="162"/>
      <c r="AL139" s="163"/>
      <c r="AM139" s="161" t="str">
        <f t="shared" ca="1" si="69"/>
        <v>経過記録情報モジュール_アセスメントレコードテーブルから組入れ条件の第一条件で絞り込んだ結果を格納するテーブル</v>
      </c>
      <c r="AN139" s="162"/>
      <c r="AO139" s="162"/>
      <c r="AP139" s="162"/>
      <c r="AQ139" s="162"/>
      <c r="AR139" s="162"/>
      <c r="AS139" s="162"/>
      <c r="AT139" s="162"/>
      <c r="AU139" s="162"/>
      <c r="AV139" s="162"/>
      <c r="AW139" s="162"/>
      <c r="AX139" s="162"/>
      <c r="AY139" s="162"/>
      <c r="AZ139" s="162"/>
      <c r="BA139" s="162"/>
      <c r="BB139" s="162"/>
      <c r="BC139" s="162"/>
      <c r="BD139" s="162"/>
      <c r="BE139" s="162"/>
      <c r="BF139" s="162"/>
      <c r="BG139" s="162"/>
      <c r="BH139" s="162"/>
      <c r="BI139" s="162"/>
      <c r="BJ139" s="164"/>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48" t="str">
        <f t="shared" si="8"/>
        <v>01</v>
      </c>
      <c r="C140" s="149"/>
      <c r="D140" s="149"/>
      <c r="E140" s="149"/>
      <c r="F140" s="150"/>
      <c r="G140" s="151" t="s">
        <v>196</v>
      </c>
      <c r="H140" s="152"/>
      <c r="I140" s="152"/>
      <c r="J140" s="152"/>
      <c r="K140" s="152"/>
      <c r="L140" s="152"/>
      <c r="M140" s="152"/>
      <c r="N140" s="153"/>
      <c r="O140" s="79" t="s">
        <v>3121</v>
      </c>
      <c r="P140" s="165" t="s">
        <v>1412</v>
      </c>
      <c r="Q140" s="166"/>
      <c r="R140" s="166"/>
      <c r="S140" s="166"/>
      <c r="T140" s="166"/>
      <c r="U140" s="166"/>
      <c r="V140" s="166"/>
      <c r="W140" s="166"/>
      <c r="X140" s="166"/>
      <c r="Y140" s="166"/>
      <c r="Z140" s="166"/>
      <c r="AA140" s="166"/>
      <c r="AB140" s="166"/>
      <c r="AC140" s="166"/>
      <c r="AD140" s="167"/>
      <c r="AE140" s="161" t="str">
        <f t="shared" ca="1" si="68"/>
        <v>sny_202310_backup_merge_mml_pc_external_reference</v>
      </c>
      <c r="AF140" s="162"/>
      <c r="AG140" s="162"/>
      <c r="AH140" s="162"/>
      <c r="AI140" s="162"/>
      <c r="AJ140" s="162"/>
      <c r="AK140" s="162"/>
      <c r="AL140" s="163"/>
      <c r="AM140" s="161" t="str">
        <f t="shared" ca="1" si="69"/>
        <v>経過記録情報モジュール_外部参照レコードテーブルから組入れ条件の第一条件で絞り込んだ結果を格納するテーブル</v>
      </c>
      <c r="AN140" s="162"/>
      <c r="AO140" s="162"/>
      <c r="AP140" s="162"/>
      <c r="AQ140" s="162"/>
      <c r="AR140" s="162"/>
      <c r="AS140" s="162"/>
      <c r="AT140" s="162"/>
      <c r="AU140" s="162"/>
      <c r="AV140" s="162"/>
      <c r="AW140" s="162"/>
      <c r="AX140" s="162"/>
      <c r="AY140" s="162"/>
      <c r="AZ140" s="162"/>
      <c r="BA140" s="162"/>
      <c r="BB140" s="162"/>
      <c r="BC140" s="162"/>
      <c r="BD140" s="162"/>
      <c r="BE140" s="162"/>
      <c r="BF140" s="162"/>
      <c r="BG140" s="162"/>
      <c r="BH140" s="162"/>
      <c r="BI140" s="162"/>
      <c r="BJ140" s="164"/>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48" t="str">
        <f t="shared" si="8"/>
        <v>01</v>
      </c>
      <c r="C141" s="149"/>
      <c r="D141" s="149"/>
      <c r="E141" s="149"/>
      <c r="F141" s="150"/>
      <c r="G141" s="151" t="s">
        <v>196</v>
      </c>
      <c r="H141" s="152"/>
      <c r="I141" s="152"/>
      <c r="J141" s="152"/>
      <c r="K141" s="152"/>
      <c r="L141" s="152"/>
      <c r="M141" s="152"/>
      <c r="N141" s="153"/>
      <c r="O141" s="79" t="s">
        <v>3122</v>
      </c>
      <c r="P141" s="165" t="s">
        <v>1435</v>
      </c>
      <c r="Q141" s="166"/>
      <c r="R141" s="166"/>
      <c r="S141" s="166"/>
      <c r="T141" s="166"/>
      <c r="U141" s="166"/>
      <c r="V141" s="166"/>
      <c r="W141" s="166"/>
      <c r="X141" s="166"/>
      <c r="Y141" s="166"/>
      <c r="Z141" s="166"/>
      <c r="AA141" s="166"/>
      <c r="AB141" s="166"/>
      <c r="AC141" s="166"/>
      <c r="AD141" s="167"/>
      <c r="AE141" s="161" t="str">
        <f t="shared" ca="1" si="68"/>
        <v>sny_202310_backup_merge_mml_sm_summary</v>
      </c>
      <c r="AF141" s="162"/>
      <c r="AG141" s="162"/>
      <c r="AH141" s="162"/>
      <c r="AI141" s="162"/>
      <c r="AJ141" s="162"/>
      <c r="AK141" s="162"/>
      <c r="AL141" s="163"/>
      <c r="AM141" s="161" t="str">
        <f t="shared" ca="1" si="69"/>
        <v>臨床サマリーモジュール_臨床サマリー情報レコードテーブルから組入れ条件の第一条件で絞り込んだ結果を格納するテーブル</v>
      </c>
      <c r="AN141" s="162"/>
      <c r="AO141" s="162"/>
      <c r="AP141" s="162"/>
      <c r="AQ141" s="162"/>
      <c r="AR141" s="162"/>
      <c r="AS141" s="162"/>
      <c r="AT141" s="162"/>
      <c r="AU141" s="162"/>
      <c r="AV141" s="162"/>
      <c r="AW141" s="162"/>
      <c r="AX141" s="162"/>
      <c r="AY141" s="162"/>
      <c r="AZ141" s="162"/>
      <c r="BA141" s="162"/>
      <c r="BB141" s="162"/>
      <c r="BC141" s="162"/>
      <c r="BD141" s="162"/>
      <c r="BE141" s="162"/>
      <c r="BF141" s="162"/>
      <c r="BG141" s="162"/>
      <c r="BH141" s="162"/>
      <c r="BI141" s="162"/>
      <c r="BJ141" s="164"/>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48" t="str">
        <f t="shared" si="8"/>
        <v>01</v>
      </c>
      <c r="C142" s="149"/>
      <c r="D142" s="149"/>
      <c r="E142" s="149"/>
      <c r="F142" s="150"/>
      <c r="G142" s="151" t="s">
        <v>196</v>
      </c>
      <c r="H142" s="152"/>
      <c r="I142" s="152"/>
      <c r="J142" s="152"/>
      <c r="K142" s="152"/>
      <c r="L142" s="152"/>
      <c r="M142" s="152"/>
      <c r="N142" s="153"/>
      <c r="O142" s="79" t="s">
        <v>3123</v>
      </c>
      <c r="P142" s="165" t="s">
        <v>1477</v>
      </c>
      <c r="Q142" s="166"/>
      <c r="R142" s="166"/>
      <c r="S142" s="166"/>
      <c r="T142" s="166"/>
      <c r="U142" s="166"/>
      <c r="V142" s="166"/>
      <c r="W142" s="166"/>
      <c r="X142" s="166"/>
      <c r="Y142" s="166"/>
      <c r="Z142" s="166"/>
      <c r="AA142" s="166"/>
      <c r="AB142" s="166"/>
      <c r="AC142" s="166"/>
      <c r="AD142" s="167"/>
      <c r="AE142" s="161" t="str">
        <f t="shared" ca="1" si="68"/>
        <v>sny_202310_backup_merge_mml_sm_out_patient</v>
      </c>
      <c r="AF142" s="162"/>
      <c r="AG142" s="162"/>
      <c r="AH142" s="162"/>
      <c r="AI142" s="162"/>
      <c r="AJ142" s="162"/>
      <c r="AK142" s="162"/>
      <c r="AL142" s="163"/>
      <c r="AM142" s="161" t="str">
        <f t="shared" ca="1" si="69"/>
        <v>臨床サマリーモジュール_外来受診レコードテーブルから組入れ条件の第一条件で絞り込んだ結果を格納するテーブル</v>
      </c>
      <c r="AN142" s="162"/>
      <c r="AO142" s="162"/>
      <c r="AP142" s="162"/>
      <c r="AQ142" s="162"/>
      <c r="AR142" s="162"/>
      <c r="AS142" s="162"/>
      <c r="AT142" s="162"/>
      <c r="AU142" s="162"/>
      <c r="AV142" s="162"/>
      <c r="AW142" s="162"/>
      <c r="AX142" s="162"/>
      <c r="AY142" s="162"/>
      <c r="AZ142" s="162"/>
      <c r="BA142" s="162"/>
      <c r="BB142" s="162"/>
      <c r="BC142" s="162"/>
      <c r="BD142" s="162"/>
      <c r="BE142" s="162"/>
      <c r="BF142" s="162"/>
      <c r="BG142" s="162"/>
      <c r="BH142" s="162"/>
      <c r="BI142" s="162"/>
      <c r="BJ142" s="164"/>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48" t="str">
        <f t="shared" si="8"/>
        <v>01</v>
      </c>
      <c r="C143" s="149"/>
      <c r="D143" s="149"/>
      <c r="E143" s="149"/>
      <c r="F143" s="150"/>
      <c r="G143" s="151" t="s">
        <v>196</v>
      </c>
      <c r="H143" s="152"/>
      <c r="I143" s="152"/>
      <c r="J143" s="152"/>
      <c r="K143" s="152"/>
      <c r="L143" s="152"/>
      <c r="M143" s="152"/>
      <c r="N143" s="153"/>
      <c r="O143" s="79" t="s">
        <v>3124</v>
      </c>
      <c r="P143" s="165" t="s">
        <v>1494</v>
      </c>
      <c r="Q143" s="166"/>
      <c r="R143" s="166"/>
      <c r="S143" s="166"/>
      <c r="T143" s="166"/>
      <c r="U143" s="166"/>
      <c r="V143" s="166"/>
      <c r="W143" s="166"/>
      <c r="X143" s="166"/>
      <c r="Y143" s="166"/>
      <c r="Z143" s="166"/>
      <c r="AA143" s="166"/>
      <c r="AB143" s="166"/>
      <c r="AC143" s="166"/>
      <c r="AD143" s="167"/>
      <c r="AE143" s="161" t="str">
        <f t="shared" ca="1" si="68"/>
        <v>sny_202310_backup_merge_mml_sm_in_patient</v>
      </c>
      <c r="AF143" s="162"/>
      <c r="AG143" s="162"/>
      <c r="AH143" s="162"/>
      <c r="AI143" s="162"/>
      <c r="AJ143" s="162"/>
      <c r="AK143" s="162"/>
      <c r="AL143" s="163"/>
      <c r="AM143" s="161" t="str">
        <f t="shared" ca="1" si="69"/>
        <v>臨床サマリーモジュール_入院レコードテーブルから組入れ条件の第一条件で絞り込んだ結果を格納するテーブル</v>
      </c>
      <c r="AN143" s="162"/>
      <c r="AO143" s="162"/>
      <c r="AP143" s="162"/>
      <c r="AQ143" s="162"/>
      <c r="AR143" s="162"/>
      <c r="AS143" s="162"/>
      <c r="AT143" s="162"/>
      <c r="AU143" s="162"/>
      <c r="AV143" s="162"/>
      <c r="AW143" s="162"/>
      <c r="AX143" s="162"/>
      <c r="AY143" s="162"/>
      <c r="AZ143" s="162"/>
      <c r="BA143" s="162"/>
      <c r="BB143" s="162"/>
      <c r="BC143" s="162"/>
      <c r="BD143" s="162"/>
      <c r="BE143" s="162"/>
      <c r="BF143" s="162"/>
      <c r="BG143" s="162"/>
      <c r="BH143" s="162"/>
      <c r="BI143" s="162"/>
      <c r="BJ143" s="164"/>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48" t="str">
        <f t="shared" si="8"/>
        <v>01</v>
      </c>
      <c r="C144" s="149"/>
      <c r="D144" s="149"/>
      <c r="E144" s="149"/>
      <c r="F144" s="150"/>
      <c r="G144" s="151" t="s">
        <v>196</v>
      </c>
      <c r="H144" s="152"/>
      <c r="I144" s="152"/>
      <c r="J144" s="152"/>
      <c r="K144" s="152"/>
      <c r="L144" s="152"/>
      <c r="M144" s="152"/>
      <c r="N144" s="153"/>
      <c r="O144" s="79" t="s">
        <v>3125</v>
      </c>
      <c r="P144" s="165" t="s">
        <v>1520</v>
      </c>
      <c r="Q144" s="166"/>
      <c r="R144" s="166"/>
      <c r="S144" s="166"/>
      <c r="T144" s="166"/>
      <c r="U144" s="166"/>
      <c r="V144" s="166"/>
      <c r="W144" s="166"/>
      <c r="X144" s="166"/>
      <c r="Y144" s="166"/>
      <c r="Z144" s="166"/>
      <c r="AA144" s="166"/>
      <c r="AB144" s="166"/>
      <c r="AC144" s="166"/>
      <c r="AD144" s="167"/>
      <c r="AE144" s="161" t="str">
        <f t="shared" ca="1" si="68"/>
        <v>sny_202310_backup_merge_mml_sm_clinical_course</v>
      </c>
      <c r="AF144" s="162"/>
      <c r="AG144" s="162"/>
      <c r="AH144" s="162"/>
      <c r="AI144" s="162"/>
      <c r="AJ144" s="162"/>
      <c r="AK144" s="162"/>
      <c r="AL144" s="163"/>
      <c r="AM144" s="161" t="str">
        <f t="shared" ca="1" si="69"/>
        <v>臨床サマリーモジュール_経過記録レコードテーブルから組入れ条件の第一条件で絞り込んだ結果を格納するテーブル</v>
      </c>
      <c r="AN144" s="162"/>
      <c r="AO144" s="162"/>
      <c r="AP144" s="162"/>
      <c r="AQ144" s="162"/>
      <c r="AR144" s="162"/>
      <c r="AS144" s="162"/>
      <c r="AT144" s="162"/>
      <c r="AU144" s="162"/>
      <c r="AV144" s="162"/>
      <c r="AW144" s="162"/>
      <c r="AX144" s="162"/>
      <c r="AY144" s="162"/>
      <c r="AZ144" s="162"/>
      <c r="BA144" s="162"/>
      <c r="BB144" s="162"/>
      <c r="BC144" s="162"/>
      <c r="BD144" s="162"/>
      <c r="BE144" s="162"/>
      <c r="BF144" s="162"/>
      <c r="BG144" s="162"/>
      <c r="BH144" s="162"/>
      <c r="BI144" s="162"/>
      <c r="BJ144" s="164"/>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48" t="str">
        <f t="shared" si="8"/>
        <v>01</v>
      </c>
      <c r="C145" s="149"/>
      <c r="D145" s="149"/>
      <c r="E145" s="149"/>
      <c r="F145" s="150"/>
      <c r="G145" s="151" t="s">
        <v>196</v>
      </c>
      <c r="H145" s="152"/>
      <c r="I145" s="152"/>
      <c r="J145" s="152"/>
      <c r="K145" s="152"/>
      <c r="L145" s="152"/>
      <c r="M145" s="152"/>
      <c r="N145" s="153"/>
      <c r="O145" s="79" t="s">
        <v>3126</v>
      </c>
      <c r="P145" s="165" t="s">
        <v>1535</v>
      </c>
      <c r="Q145" s="166"/>
      <c r="R145" s="166"/>
      <c r="S145" s="166"/>
      <c r="T145" s="166"/>
      <c r="U145" s="166"/>
      <c r="V145" s="166"/>
      <c r="W145" s="166"/>
      <c r="X145" s="166"/>
      <c r="Y145" s="166"/>
      <c r="Z145" s="166"/>
      <c r="AA145" s="166"/>
      <c r="AB145" s="166"/>
      <c r="AC145" s="166"/>
      <c r="AD145" s="167"/>
      <c r="AE145" s="161" t="str">
        <f t="shared" ca="1" si="68"/>
        <v>sny_202310_backup_merge_mml_sm_test_results</v>
      </c>
      <c r="AF145" s="162"/>
      <c r="AG145" s="162"/>
      <c r="AH145" s="162"/>
      <c r="AI145" s="162"/>
      <c r="AJ145" s="162"/>
      <c r="AK145" s="162"/>
      <c r="AL145" s="163"/>
      <c r="AM145" s="161" t="str">
        <f t="shared" ca="1" si="69"/>
        <v>臨床サマリーモジュール_検査結果レコードテーブルから組入れ条件の第一条件で絞り込んだ結果を格納するテーブル</v>
      </c>
      <c r="AN145" s="162"/>
      <c r="AO145" s="162"/>
      <c r="AP145" s="162"/>
      <c r="AQ145" s="162"/>
      <c r="AR145" s="162"/>
      <c r="AS145" s="162"/>
      <c r="AT145" s="162"/>
      <c r="AU145" s="162"/>
      <c r="AV145" s="162"/>
      <c r="AW145" s="162"/>
      <c r="AX145" s="162"/>
      <c r="AY145" s="162"/>
      <c r="AZ145" s="162"/>
      <c r="BA145" s="162"/>
      <c r="BB145" s="162"/>
      <c r="BC145" s="162"/>
      <c r="BD145" s="162"/>
      <c r="BE145" s="162"/>
      <c r="BF145" s="162"/>
      <c r="BG145" s="162"/>
      <c r="BH145" s="162"/>
      <c r="BI145" s="162"/>
      <c r="BJ145" s="164"/>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48" t="str">
        <f t="shared" si="8"/>
        <v>01</v>
      </c>
      <c r="C146" s="149"/>
      <c r="D146" s="149"/>
      <c r="E146" s="149"/>
      <c r="F146" s="150"/>
      <c r="G146" s="151" t="s">
        <v>196</v>
      </c>
      <c r="H146" s="152"/>
      <c r="I146" s="152"/>
      <c r="J146" s="152"/>
      <c r="K146" s="152"/>
      <c r="L146" s="152"/>
      <c r="M146" s="152"/>
      <c r="N146" s="153"/>
      <c r="O146" s="79" t="s">
        <v>3127</v>
      </c>
      <c r="P146" s="165" t="s">
        <v>1545</v>
      </c>
      <c r="Q146" s="166"/>
      <c r="R146" s="166"/>
      <c r="S146" s="166"/>
      <c r="T146" s="166"/>
      <c r="U146" s="166"/>
      <c r="V146" s="166"/>
      <c r="W146" s="166"/>
      <c r="X146" s="166"/>
      <c r="Y146" s="166"/>
      <c r="Z146" s="166"/>
      <c r="AA146" s="166"/>
      <c r="AB146" s="166"/>
      <c r="AC146" s="166"/>
      <c r="AD146" s="167"/>
      <c r="AE146" s="161" t="str">
        <f t="shared" ca="1" si="68"/>
        <v>sny_202310_backup_merge_mml_lb_test</v>
      </c>
      <c r="AF146" s="162"/>
      <c r="AG146" s="162"/>
      <c r="AH146" s="162"/>
      <c r="AI146" s="162"/>
      <c r="AJ146" s="162"/>
      <c r="AK146" s="162"/>
      <c r="AL146" s="163"/>
      <c r="AM146" s="161" t="str">
        <f t="shared" ca="1" si="69"/>
        <v>検歴情報モジュール_検歴情報テーブルから組入れ条件の第一条件で絞り込んだ結果を格納するテーブル</v>
      </c>
      <c r="AN146" s="162"/>
      <c r="AO146" s="162"/>
      <c r="AP146" s="162"/>
      <c r="AQ146" s="162"/>
      <c r="AR146" s="162"/>
      <c r="AS146" s="162"/>
      <c r="AT146" s="162"/>
      <c r="AU146" s="162"/>
      <c r="AV146" s="162"/>
      <c r="AW146" s="162"/>
      <c r="AX146" s="162"/>
      <c r="AY146" s="162"/>
      <c r="AZ146" s="162"/>
      <c r="BA146" s="162"/>
      <c r="BB146" s="162"/>
      <c r="BC146" s="162"/>
      <c r="BD146" s="162"/>
      <c r="BE146" s="162"/>
      <c r="BF146" s="162"/>
      <c r="BG146" s="162"/>
      <c r="BH146" s="162"/>
      <c r="BI146" s="162"/>
      <c r="BJ146" s="164"/>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48" t="str">
        <f t="shared" si="8"/>
        <v>01</v>
      </c>
      <c r="C147" s="149"/>
      <c r="D147" s="149"/>
      <c r="E147" s="149"/>
      <c r="F147" s="150"/>
      <c r="G147" s="151" t="s">
        <v>196</v>
      </c>
      <c r="H147" s="152"/>
      <c r="I147" s="152"/>
      <c r="J147" s="152"/>
      <c r="K147" s="152"/>
      <c r="L147" s="152"/>
      <c r="M147" s="152"/>
      <c r="N147" s="153"/>
      <c r="O147" s="79" t="s">
        <v>3128</v>
      </c>
      <c r="P147" s="165" t="s">
        <v>1603</v>
      </c>
      <c r="Q147" s="166"/>
      <c r="R147" s="166"/>
      <c r="S147" s="166"/>
      <c r="T147" s="166"/>
      <c r="U147" s="166"/>
      <c r="V147" s="166"/>
      <c r="W147" s="166"/>
      <c r="X147" s="166"/>
      <c r="Y147" s="166"/>
      <c r="Z147" s="166"/>
      <c r="AA147" s="166"/>
      <c r="AB147" s="166"/>
      <c r="AC147" s="166"/>
      <c r="AD147" s="167"/>
      <c r="AE147" s="161" t="str">
        <f t="shared" ca="1" si="68"/>
        <v>sny_202310_backup_merge_mml_lb_specimen</v>
      </c>
      <c r="AF147" s="162"/>
      <c r="AG147" s="162"/>
      <c r="AH147" s="162"/>
      <c r="AI147" s="162"/>
      <c r="AJ147" s="162"/>
      <c r="AK147" s="162"/>
      <c r="AL147" s="163"/>
      <c r="AM147" s="161" t="str">
        <f t="shared" ca="1" si="69"/>
        <v>検歴情報モジュール_検歴検体材料テーブルから組入れ条件の第一条件で絞り込んだ結果を格納するテーブル</v>
      </c>
      <c r="AN147" s="162"/>
      <c r="AO147" s="162"/>
      <c r="AP147" s="162"/>
      <c r="AQ147" s="162"/>
      <c r="AR147" s="162"/>
      <c r="AS147" s="162"/>
      <c r="AT147" s="162"/>
      <c r="AU147" s="162"/>
      <c r="AV147" s="162"/>
      <c r="AW147" s="162"/>
      <c r="AX147" s="162"/>
      <c r="AY147" s="162"/>
      <c r="AZ147" s="162"/>
      <c r="BA147" s="162"/>
      <c r="BB147" s="162"/>
      <c r="BC147" s="162"/>
      <c r="BD147" s="162"/>
      <c r="BE147" s="162"/>
      <c r="BF147" s="162"/>
      <c r="BG147" s="162"/>
      <c r="BH147" s="162"/>
      <c r="BI147" s="162"/>
      <c r="BJ147" s="164"/>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48" t="str">
        <f t="shared" si="8"/>
        <v>01</v>
      </c>
      <c r="C148" s="149"/>
      <c r="D148" s="149"/>
      <c r="E148" s="149"/>
      <c r="F148" s="150"/>
      <c r="G148" s="151" t="s">
        <v>196</v>
      </c>
      <c r="H148" s="152"/>
      <c r="I148" s="152"/>
      <c r="J148" s="152"/>
      <c r="K148" s="152"/>
      <c r="L148" s="152"/>
      <c r="M148" s="152"/>
      <c r="N148" s="153"/>
      <c r="O148" s="79" t="s">
        <v>3129</v>
      </c>
      <c r="P148" s="165" t="s">
        <v>1622</v>
      </c>
      <c r="Q148" s="166"/>
      <c r="R148" s="166"/>
      <c r="S148" s="166"/>
      <c r="T148" s="166"/>
      <c r="U148" s="166"/>
      <c r="V148" s="166"/>
      <c r="W148" s="166"/>
      <c r="X148" s="166"/>
      <c r="Y148" s="166"/>
      <c r="Z148" s="166"/>
      <c r="AA148" s="166"/>
      <c r="AB148" s="166"/>
      <c r="AC148" s="166"/>
      <c r="AD148" s="167"/>
      <c r="AE148" s="161" t="str">
        <f t="shared" ca="1" si="68"/>
        <v>sny_202310_backup_merge_mml_lb_item</v>
      </c>
      <c r="AF148" s="162"/>
      <c r="AG148" s="162"/>
      <c r="AH148" s="162"/>
      <c r="AI148" s="162"/>
      <c r="AJ148" s="162"/>
      <c r="AK148" s="162"/>
      <c r="AL148" s="163"/>
      <c r="AM148" s="161" t="str">
        <f t="shared" ca="1" si="69"/>
        <v>検歴情報モジュール_検歴項目情報テーブルから組入れ条件の第一条件で絞り込んだ結果を格納するテーブル</v>
      </c>
      <c r="AN148" s="162"/>
      <c r="AO148" s="162"/>
      <c r="AP148" s="162"/>
      <c r="AQ148" s="162"/>
      <c r="AR148" s="162"/>
      <c r="AS148" s="162"/>
      <c r="AT148" s="162"/>
      <c r="AU148" s="162"/>
      <c r="AV148" s="162"/>
      <c r="AW148" s="162"/>
      <c r="AX148" s="162"/>
      <c r="AY148" s="162"/>
      <c r="AZ148" s="162"/>
      <c r="BA148" s="162"/>
      <c r="BB148" s="162"/>
      <c r="BC148" s="162"/>
      <c r="BD148" s="162"/>
      <c r="BE148" s="162"/>
      <c r="BF148" s="162"/>
      <c r="BG148" s="162"/>
      <c r="BH148" s="162"/>
      <c r="BI148" s="162"/>
      <c r="BJ148" s="164"/>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48" t="str">
        <f t="shared" si="8"/>
        <v>01</v>
      </c>
      <c r="C149" s="149"/>
      <c r="D149" s="149"/>
      <c r="E149" s="149"/>
      <c r="F149" s="150"/>
      <c r="G149" s="151" t="s">
        <v>196</v>
      </c>
      <c r="H149" s="152"/>
      <c r="I149" s="152"/>
      <c r="J149" s="152"/>
      <c r="K149" s="152"/>
      <c r="L149" s="152"/>
      <c r="M149" s="152"/>
      <c r="N149" s="153"/>
      <c r="O149" s="79" t="s">
        <v>3130</v>
      </c>
      <c r="P149" s="165" t="s">
        <v>1680</v>
      </c>
      <c r="Q149" s="166"/>
      <c r="R149" s="166"/>
      <c r="S149" s="166"/>
      <c r="T149" s="166"/>
      <c r="U149" s="166"/>
      <c r="V149" s="166"/>
      <c r="W149" s="166"/>
      <c r="X149" s="166"/>
      <c r="Y149" s="166"/>
      <c r="Z149" s="166"/>
      <c r="AA149" s="166"/>
      <c r="AB149" s="166"/>
      <c r="AC149" s="166"/>
      <c r="AD149" s="167"/>
      <c r="AE149" s="161" t="str">
        <f t="shared" ref="AE149:AE151" ca="1" si="76">IFERROR(INDIRECT(P149&amp;"!D8"),"")</f>
        <v>sny_202310_backup_merge_mml_vs_vitalsign</v>
      </c>
      <c r="AF149" s="162"/>
      <c r="AG149" s="162"/>
      <c r="AH149" s="162"/>
      <c r="AI149" s="162"/>
      <c r="AJ149" s="162"/>
      <c r="AK149" s="162"/>
      <c r="AL149" s="163"/>
      <c r="AM149" s="161" t="str">
        <f t="shared" ref="AM149:AM151" ca="1" si="77">IFERROR(INDIRECT(P149&amp;"!D9"),"")</f>
        <v>バイタルサインモジュール_バイタルサインテーブルから組入れ条件の第一条件で絞り込んだ結果を格納するテーブル</v>
      </c>
      <c r="AN149" s="162"/>
      <c r="AO149" s="162"/>
      <c r="AP149" s="162"/>
      <c r="AQ149" s="162"/>
      <c r="AR149" s="162"/>
      <c r="AS149" s="162"/>
      <c r="AT149" s="162"/>
      <c r="AU149" s="162"/>
      <c r="AV149" s="162"/>
      <c r="AW149" s="162"/>
      <c r="AX149" s="162"/>
      <c r="AY149" s="162"/>
      <c r="AZ149" s="162"/>
      <c r="BA149" s="162"/>
      <c r="BB149" s="162"/>
      <c r="BC149" s="162"/>
      <c r="BD149" s="162"/>
      <c r="BE149" s="162"/>
      <c r="BF149" s="162"/>
      <c r="BG149" s="162"/>
      <c r="BH149" s="162"/>
      <c r="BI149" s="162"/>
      <c r="BJ149" s="164"/>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48" t="str">
        <f t="shared" si="8"/>
        <v>01</v>
      </c>
      <c r="C150" s="149"/>
      <c r="D150" s="149"/>
      <c r="E150" s="149"/>
      <c r="F150" s="150"/>
      <c r="G150" s="151" t="s">
        <v>196</v>
      </c>
      <c r="H150" s="152"/>
      <c r="I150" s="152"/>
      <c r="J150" s="152"/>
      <c r="K150" s="152"/>
      <c r="L150" s="152"/>
      <c r="M150" s="152"/>
      <c r="N150" s="153"/>
      <c r="O150" s="79" t="s">
        <v>3131</v>
      </c>
      <c r="P150" s="165" t="s">
        <v>1717</v>
      </c>
      <c r="Q150" s="166"/>
      <c r="R150" s="166"/>
      <c r="S150" s="166"/>
      <c r="T150" s="166"/>
      <c r="U150" s="166"/>
      <c r="V150" s="166"/>
      <c r="W150" s="166"/>
      <c r="X150" s="166"/>
      <c r="Y150" s="166"/>
      <c r="Z150" s="166"/>
      <c r="AA150" s="166"/>
      <c r="AB150" s="166"/>
      <c r="AC150" s="166"/>
      <c r="AD150" s="167"/>
      <c r="AE150" s="161" t="str">
        <f t="shared" ca="1" si="76"/>
        <v>sny_202310_backup_merge_mml_vs_item</v>
      </c>
      <c r="AF150" s="162"/>
      <c r="AG150" s="162"/>
      <c r="AH150" s="162"/>
      <c r="AI150" s="162"/>
      <c r="AJ150" s="162"/>
      <c r="AK150" s="162"/>
      <c r="AL150" s="163"/>
      <c r="AM150" s="161" t="str">
        <f t="shared" ca="1" si="77"/>
        <v>バイタルサインモジュール_記録項目テーブルから組入れ条件の第一条件で絞り込んだ結果を格納するテーブル</v>
      </c>
      <c r="AN150" s="162"/>
      <c r="AO150" s="162"/>
      <c r="AP150" s="162"/>
      <c r="AQ150" s="162"/>
      <c r="AR150" s="162"/>
      <c r="AS150" s="162"/>
      <c r="AT150" s="162"/>
      <c r="AU150" s="162"/>
      <c r="AV150" s="162"/>
      <c r="AW150" s="162"/>
      <c r="AX150" s="162"/>
      <c r="AY150" s="162"/>
      <c r="AZ150" s="162"/>
      <c r="BA150" s="162"/>
      <c r="BB150" s="162"/>
      <c r="BC150" s="162"/>
      <c r="BD150" s="162"/>
      <c r="BE150" s="162"/>
      <c r="BF150" s="162"/>
      <c r="BG150" s="162"/>
      <c r="BH150" s="162"/>
      <c r="BI150" s="162"/>
      <c r="BJ150" s="164"/>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48" t="str">
        <f t="shared" si="8"/>
        <v>01</v>
      </c>
      <c r="C151" s="149"/>
      <c r="D151" s="149"/>
      <c r="E151" s="149"/>
      <c r="F151" s="150"/>
      <c r="G151" s="151" t="s">
        <v>196</v>
      </c>
      <c r="H151" s="152"/>
      <c r="I151" s="152"/>
      <c r="J151" s="152"/>
      <c r="K151" s="152"/>
      <c r="L151" s="152"/>
      <c r="M151" s="152"/>
      <c r="N151" s="153"/>
      <c r="O151" s="79" t="s">
        <v>3132</v>
      </c>
      <c r="P151" s="165" t="s">
        <v>1731</v>
      </c>
      <c r="Q151" s="166"/>
      <c r="R151" s="166"/>
      <c r="S151" s="166"/>
      <c r="T151" s="166"/>
      <c r="U151" s="166"/>
      <c r="V151" s="166"/>
      <c r="W151" s="166"/>
      <c r="X151" s="166"/>
      <c r="Y151" s="166"/>
      <c r="Z151" s="166"/>
      <c r="AA151" s="166"/>
      <c r="AB151" s="166"/>
      <c r="AC151" s="166"/>
      <c r="AD151" s="167"/>
      <c r="AE151" s="161" t="str">
        <f t="shared" ca="1" si="76"/>
        <v>sny_202310_backup_merge_mml_fs_vitalsign</v>
      </c>
      <c r="AF151" s="162"/>
      <c r="AG151" s="162"/>
      <c r="AH151" s="162"/>
      <c r="AI151" s="162"/>
      <c r="AJ151" s="162"/>
      <c r="AK151" s="162"/>
      <c r="AL151" s="163"/>
      <c r="AM151" s="161" t="str">
        <f t="shared" ca="1" si="77"/>
        <v>体温表モジュール_バイタルサインテーブルから組入れ条件の第一条件で絞り込んだ結果を格納するテーブル</v>
      </c>
      <c r="AN151" s="162"/>
      <c r="AO151" s="162"/>
      <c r="AP151" s="162"/>
      <c r="AQ151" s="162"/>
      <c r="AR151" s="162"/>
      <c r="AS151" s="162"/>
      <c r="AT151" s="162"/>
      <c r="AU151" s="162"/>
      <c r="AV151" s="162"/>
      <c r="AW151" s="162"/>
      <c r="AX151" s="162"/>
      <c r="AY151" s="162"/>
      <c r="AZ151" s="162"/>
      <c r="BA151" s="162"/>
      <c r="BB151" s="162"/>
      <c r="BC151" s="162"/>
      <c r="BD151" s="162"/>
      <c r="BE151" s="162"/>
      <c r="BF151" s="162"/>
      <c r="BG151" s="162"/>
      <c r="BH151" s="162"/>
      <c r="BI151" s="162"/>
      <c r="BJ151" s="164"/>
      <c r="BK151" s="32" t="str">
        <f t="shared" si="74"/>
        <v>ENT_01_C4-40_バックアップ_体温表モジュール_バイタルサイン.sql</v>
      </c>
    </row>
    <row r="152" spans="1:64" ht="37.5" hidden="1" customHeight="1" outlineLevel="1">
      <c r="A152" s="34" t="str">
        <f>P152</f>
        <v>バックアップ_体温表モジュール_記録項目</v>
      </c>
      <c r="B152" s="148" t="str">
        <f t="shared" si="8"/>
        <v>01</v>
      </c>
      <c r="C152" s="149"/>
      <c r="D152" s="149"/>
      <c r="E152" s="149"/>
      <c r="F152" s="150"/>
      <c r="G152" s="151" t="s">
        <v>196</v>
      </c>
      <c r="H152" s="152"/>
      <c r="I152" s="152"/>
      <c r="J152" s="152"/>
      <c r="K152" s="152"/>
      <c r="L152" s="152"/>
      <c r="M152" s="152"/>
      <c r="N152" s="153"/>
      <c r="O152" s="79" t="s">
        <v>3133</v>
      </c>
      <c r="P152" s="165" t="s">
        <v>1735</v>
      </c>
      <c r="Q152" s="166"/>
      <c r="R152" s="166"/>
      <c r="S152" s="166"/>
      <c r="T152" s="166"/>
      <c r="U152" s="166"/>
      <c r="V152" s="166"/>
      <c r="W152" s="166"/>
      <c r="X152" s="166"/>
      <c r="Y152" s="166"/>
      <c r="Z152" s="166"/>
      <c r="AA152" s="166"/>
      <c r="AB152" s="166"/>
      <c r="AC152" s="166"/>
      <c r="AD152" s="167"/>
      <c r="AE152" s="161" t="str">
        <f t="shared" ca="1" si="68"/>
        <v>sny_202310_backup_merge_mml_fs_item</v>
      </c>
      <c r="AF152" s="162"/>
      <c r="AG152" s="162"/>
      <c r="AH152" s="162"/>
      <c r="AI152" s="162"/>
      <c r="AJ152" s="162"/>
      <c r="AK152" s="162"/>
      <c r="AL152" s="163"/>
      <c r="AM152" s="161" t="str">
        <f t="shared" ca="1" si="69"/>
        <v>体温表モジュール_記録項目テーブルから組入れ条件の第一条件で絞り込んだ結果を格納するテーブル</v>
      </c>
      <c r="AN152" s="162"/>
      <c r="AO152" s="162"/>
      <c r="AP152" s="162"/>
      <c r="AQ152" s="162"/>
      <c r="AR152" s="162"/>
      <c r="AS152" s="162"/>
      <c r="AT152" s="162"/>
      <c r="AU152" s="162"/>
      <c r="AV152" s="162"/>
      <c r="AW152" s="162"/>
      <c r="AX152" s="162"/>
      <c r="AY152" s="162"/>
      <c r="AZ152" s="162"/>
      <c r="BA152" s="162"/>
      <c r="BB152" s="162"/>
      <c r="BC152" s="162"/>
      <c r="BD152" s="162"/>
      <c r="BE152" s="162"/>
      <c r="BF152" s="162"/>
      <c r="BG152" s="162"/>
      <c r="BH152" s="162"/>
      <c r="BI152" s="162"/>
      <c r="BJ152" s="164"/>
      <c r="BK152" s="32" t="str">
        <f t="shared" si="74"/>
        <v>ENT_01_C4-41_バックアップ_体温表モジュール_記録項目.sql</v>
      </c>
    </row>
    <row r="153" spans="1:64" ht="37.5" customHeight="1" collapsed="1" thickTop="1">
      <c r="A153" s="34" t="str">
        <f t="shared" ref="A153:A228" si="78">P153</f>
        <v>組入れ_対象施設</v>
      </c>
      <c r="B153" s="168" t="str">
        <f t="shared" ref="B153:B159" si="79">TEXT(11,"00")</f>
        <v>11</v>
      </c>
      <c r="C153" s="169"/>
      <c r="D153" s="169"/>
      <c r="E153" s="169"/>
      <c r="F153" s="170"/>
      <c r="G153" s="171" t="s">
        <v>197</v>
      </c>
      <c r="H153" s="172"/>
      <c r="I153" s="172"/>
      <c r="J153" s="172"/>
      <c r="K153" s="172"/>
      <c r="L153" s="172"/>
      <c r="M153" s="172"/>
      <c r="N153" s="173"/>
      <c r="O153" s="79" t="str">
        <f t="shared" ref="O153:O159" si="80">IF(P153&lt;&gt;"","ENT_"&amp;RIGHT(B153,2)&amp;"_"&amp;TEXT(ROW(O153)-ROW(O$153)+1,"00"),"")</f>
        <v>ENT_11_01</v>
      </c>
      <c r="P153" s="165" t="s">
        <v>3815</v>
      </c>
      <c r="Q153" s="166"/>
      <c r="R153" s="166"/>
      <c r="S153" s="166"/>
      <c r="T153" s="166"/>
      <c r="U153" s="166"/>
      <c r="V153" s="166"/>
      <c r="W153" s="166"/>
      <c r="X153" s="166"/>
      <c r="Y153" s="166"/>
      <c r="Z153" s="166"/>
      <c r="AA153" s="166"/>
      <c r="AB153" s="166"/>
      <c r="AC153" s="166"/>
      <c r="AD153" s="167"/>
      <c r="AE153" s="161" t="str">
        <f t="shared" ref="AE153:AE154" ca="1" si="81">IFERROR(INDIRECT(P153&amp;"!D8"),"")</f>
        <v>sny_202310_enroll_shisetsu</v>
      </c>
      <c r="AF153" s="162"/>
      <c r="AG153" s="162"/>
      <c r="AH153" s="162"/>
      <c r="AI153" s="162"/>
      <c r="AJ153" s="162"/>
      <c r="AK153" s="162"/>
      <c r="AL153" s="163"/>
      <c r="AM153" s="161" t="str">
        <f t="shared" ref="AM153:AM154" ca="1" si="82">IFERROR(INDIRECT(P153&amp;"!D9"),"")</f>
        <v>バックアップ_処理対象施設マスタテーブルから組入れ条件で絞り込んだ結果を格納するテーブル</v>
      </c>
      <c r="AN153" s="162"/>
      <c r="AO153" s="162"/>
      <c r="AP153" s="162"/>
      <c r="AQ153" s="162"/>
      <c r="AR153" s="162"/>
      <c r="AS153" s="162"/>
      <c r="AT153" s="162"/>
      <c r="AU153" s="162"/>
      <c r="AV153" s="162"/>
      <c r="AW153" s="162"/>
      <c r="AX153" s="162"/>
      <c r="AY153" s="162"/>
      <c r="AZ153" s="162"/>
      <c r="BA153" s="162"/>
      <c r="BB153" s="162"/>
      <c r="BC153" s="162"/>
      <c r="BD153" s="162"/>
      <c r="BE153" s="162"/>
      <c r="BF153" s="162"/>
      <c r="BG153" s="162"/>
      <c r="BH153" s="162"/>
      <c r="BI153" s="162"/>
      <c r="BJ153" s="164"/>
      <c r="BK153" s="32" t="str">
        <f t="shared" si="43"/>
        <v>ENT_11_01_組入れ_対象施設.sql</v>
      </c>
    </row>
    <row r="154" spans="1:64" ht="37.5" customHeight="1">
      <c r="A154" s="34" t="str">
        <f t="shared" si="78"/>
        <v>組入れ_対象疾患</v>
      </c>
      <c r="B154" s="148" t="str">
        <f t="shared" si="79"/>
        <v>11</v>
      </c>
      <c r="C154" s="149"/>
      <c r="D154" s="149"/>
      <c r="E154" s="149"/>
      <c r="F154" s="150"/>
      <c r="G154" s="151" t="s">
        <v>197</v>
      </c>
      <c r="H154" s="152"/>
      <c r="I154" s="152"/>
      <c r="J154" s="152"/>
      <c r="K154" s="152"/>
      <c r="L154" s="152"/>
      <c r="M154" s="152"/>
      <c r="N154" s="153"/>
      <c r="O154" s="79" t="str">
        <f t="shared" si="80"/>
        <v>ENT_11_02</v>
      </c>
      <c r="P154" s="165" t="s">
        <v>3826</v>
      </c>
      <c r="Q154" s="166"/>
      <c r="R154" s="166"/>
      <c r="S154" s="166"/>
      <c r="T154" s="166"/>
      <c r="U154" s="166"/>
      <c r="V154" s="166"/>
      <c r="W154" s="166"/>
      <c r="X154" s="166"/>
      <c r="Y154" s="166"/>
      <c r="Z154" s="166"/>
      <c r="AA154" s="166"/>
      <c r="AB154" s="166"/>
      <c r="AC154" s="166"/>
      <c r="AD154" s="167"/>
      <c r="AE154" s="161" t="str">
        <f t="shared" ca="1" si="81"/>
        <v>sny_202310_enroll_shikkan</v>
      </c>
      <c r="AF154" s="162"/>
      <c r="AG154" s="162"/>
      <c r="AH154" s="162"/>
      <c r="AI154" s="162"/>
      <c r="AJ154" s="162"/>
      <c r="AK154" s="162"/>
      <c r="AL154" s="163"/>
      <c r="AM154" s="161" t="str">
        <f t="shared" ca="1" si="82"/>
        <v>バックアップ_疾患データ_組み入れ第一条件テーブルから組入れ条件で絞り込んだ結果を格納するテーブル</v>
      </c>
      <c r="AN154" s="162"/>
      <c r="AO154" s="162"/>
      <c r="AP154" s="162"/>
      <c r="AQ154" s="162"/>
      <c r="AR154" s="162"/>
      <c r="AS154" s="162"/>
      <c r="AT154" s="162"/>
      <c r="AU154" s="162"/>
      <c r="AV154" s="162"/>
      <c r="AW154" s="162"/>
      <c r="AX154" s="162"/>
      <c r="AY154" s="162"/>
      <c r="AZ154" s="162"/>
      <c r="BA154" s="162"/>
      <c r="BB154" s="162"/>
      <c r="BC154" s="162"/>
      <c r="BD154" s="162"/>
      <c r="BE154" s="162"/>
      <c r="BF154" s="162"/>
      <c r="BG154" s="162"/>
      <c r="BH154" s="162"/>
      <c r="BI154" s="162"/>
      <c r="BJ154" s="164"/>
      <c r="BK154" s="32" t="str">
        <f t="shared" ref="BK154" si="83">IF(P154&lt;&gt;"",O154&amp;"_"&amp;P154&amp;".sql","")</f>
        <v>ENT_11_02_組入れ_対象疾患.sql</v>
      </c>
    </row>
    <row r="155" spans="1:64" ht="37.5" customHeight="1">
      <c r="A155" s="34" t="str">
        <f t="shared" ref="A155:A156" si="84">P155</f>
        <v>組入れ_対象診療行為</v>
      </c>
      <c r="B155" s="148" t="str">
        <f t="shared" si="79"/>
        <v>11</v>
      </c>
      <c r="C155" s="149"/>
      <c r="D155" s="149"/>
      <c r="E155" s="149"/>
      <c r="F155" s="150"/>
      <c r="G155" s="151" t="s">
        <v>197</v>
      </c>
      <c r="H155" s="152"/>
      <c r="I155" s="152"/>
      <c r="J155" s="152"/>
      <c r="K155" s="152"/>
      <c r="L155" s="152"/>
      <c r="M155" s="152"/>
      <c r="N155" s="153"/>
      <c r="O155" s="79" t="str">
        <f t="shared" si="80"/>
        <v>ENT_11_03</v>
      </c>
      <c r="P155" s="165" t="s">
        <v>3793</v>
      </c>
      <c r="Q155" s="166"/>
      <c r="R155" s="166"/>
      <c r="S155" s="166"/>
      <c r="T155" s="166"/>
      <c r="U155" s="166"/>
      <c r="V155" s="166"/>
      <c r="W155" s="166"/>
      <c r="X155" s="166"/>
      <c r="Y155" s="166"/>
      <c r="Z155" s="166"/>
      <c r="AA155" s="166"/>
      <c r="AB155" s="166"/>
      <c r="AC155" s="166"/>
      <c r="AD155" s="167"/>
      <c r="AE155" s="161" t="str">
        <f t="shared" ref="AE155:AE156" ca="1" si="85">IFERROR(INDIRECT(P155&amp;"!D8"),"")</f>
        <v>sny_202310_enroll_shinryou_koui</v>
      </c>
      <c r="AF155" s="162"/>
      <c r="AG155" s="162"/>
      <c r="AH155" s="162"/>
      <c r="AI155" s="162"/>
      <c r="AJ155" s="162"/>
      <c r="AK155" s="162"/>
      <c r="AL155" s="163"/>
      <c r="AM155" s="161" t="str">
        <f t="shared" ref="AM155:AM156" ca="1" si="86">IFERROR(INDIRECT(P155&amp;"!D9"),"")</f>
        <v>バックアップ_診療行為データテーブルから組入れ条件で絞り込んだ結果を格納するテーブル</v>
      </c>
      <c r="AN155" s="162"/>
      <c r="AO155" s="162"/>
      <c r="AP155" s="162"/>
      <c r="AQ155" s="162"/>
      <c r="AR155" s="162"/>
      <c r="AS155" s="162"/>
      <c r="AT155" s="162"/>
      <c r="AU155" s="162"/>
      <c r="AV155" s="162"/>
      <c r="AW155" s="162"/>
      <c r="AX155" s="162"/>
      <c r="AY155" s="162"/>
      <c r="AZ155" s="162"/>
      <c r="BA155" s="162"/>
      <c r="BB155" s="162"/>
      <c r="BC155" s="162"/>
      <c r="BD155" s="162"/>
      <c r="BE155" s="162"/>
      <c r="BF155" s="162"/>
      <c r="BG155" s="162"/>
      <c r="BH155" s="162"/>
      <c r="BI155" s="162"/>
      <c r="BJ155" s="164"/>
      <c r="BK155" s="32" t="str">
        <f t="shared" ref="BK155:BK156" si="87">IF(P155&lt;&gt;"",O155&amp;"_"&amp;P155&amp;".sql","")</f>
        <v>ENT_11_03_組入れ_対象診療行為.sql</v>
      </c>
    </row>
    <row r="156" spans="1:64" ht="37.5" customHeight="1">
      <c r="A156" s="34" t="str">
        <f t="shared" si="84"/>
        <v>組入れ_検体検査マスタ</v>
      </c>
      <c r="B156" s="148" t="str">
        <f t="shared" si="79"/>
        <v>11</v>
      </c>
      <c r="C156" s="149"/>
      <c r="D156" s="149"/>
      <c r="E156" s="149"/>
      <c r="F156" s="150"/>
      <c r="G156" s="151" t="s">
        <v>197</v>
      </c>
      <c r="H156" s="152"/>
      <c r="I156" s="152"/>
      <c r="J156" s="152"/>
      <c r="K156" s="152"/>
      <c r="L156" s="152"/>
      <c r="M156" s="152"/>
      <c r="N156" s="153"/>
      <c r="O156" s="79" t="str">
        <f t="shared" si="80"/>
        <v>ENT_11_04</v>
      </c>
      <c r="P156" s="165" t="s">
        <v>3832</v>
      </c>
      <c r="Q156" s="166"/>
      <c r="R156" s="166"/>
      <c r="S156" s="166"/>
      <c r="T156" s="166"/>
      <c r="U156" s="166"/>
      <c r="V156" s="166"/>
      <c r="W156" s="166"/>
      <c r="X156" s="166"/>
      <c r="Y156" s="166"/>
      <c r="Z156" s="166"/>
      <c r="AA156" s="166"/>
      <c r="AB156" s="166"/>
      <c r="AC156" s="166"/>
      <c r="AD156" s="167"/>
      <c r="AE156" s="161" t="str">
        <f t="shared" ca="1" si="85"/>
        <v>sny_202310_enroll_mt_kensa</v>
      </c>
      <c r="AF156" s="162"/>
      <c r="AG156" s="162"/>
      <c r="AH156" s="162"/>
      <c r="AI156" s="162"/>
      <c r="AJ156" s="162"/>
      <c r="AK156" s="162"/>
      <c r="AL156" s="163"/>
      <c r="AM156" s="161" t="str">
        <f t="shared" ca="1" si="86"/>
        <v>検査マスタ_組入れ.tsvを登録するテーブル</v>
      </c>
      <c r="AN156" s="162"/>
      <c r="AO156" s="162"/>
      <c r="AP156" s="162"/>
      <c r="AQ156" s="162"/>
      <c r="AR156" s="162"/>
      <c r="AS156" s="162"/>
      <c r="AT156" s="162"/>
      <c r="AU156" s="162"/>
      <c r="AV156" s="162"/>
      <c r="AW156" s="162"/>
      <c r="AX156" s="162"/>
      <c r="AY156" s="162"/>
      <c r="AZ156" s="162"/>
      <c r="BA156" s="162"/>
      <c r="BB156" s="162"/>
      <c r="BC156" s="162"/>
      <c r="BD156" s="162"/>
      <c r="BE156" s="162"/>
      <c r="BF156" s="162"/>
      <c r="BG156" s="162"/>
      <c r="BH156" s="162"/>
      <c r="BI156" s="162"/>
      <c r="BJ156" s="164"/>
      <c r="BK156" s="32" t="str">
        <f t="shared" si="87"/>
        <v>ENT_11_04_組入れ_検体検査マスタ.sql</v>
      </c>
    </row>
    <row r="157" spans="1:64" ht="37.5" customHeight="1">
      <c r="A157" s="34" t="str">
        <f t="shared" ref="A157" si="88">P157</f>
        <v>組入れ_対象検体検査</v>
      </c>
      <c r="B157" s="148" t="str">
        <f t="shared" si="79"/>
        <v>11</v>
      </c>
      <c r="C157" s="149"/>
      <c r="D157" s="149"/>
      <c r="E157" s="149"/>
      <c r="F157" s="150"/>
      <c r="G157" s="151" t="s">
        <v>197</v>
      </c>
      <c r="H157" s="152"/>
      <c r="I157" s="152"/>
      <c r="J157" s="152"/>
      <c r="K157" s="152"/>
      <c r="L157" s="152"/>
      <c r="M157" s="152"/>
      <c r="N157" s="153"/>
      <c r="O157" s="79" t="str">
        <f t="shared" si="80"/>
        <v>ENT_11_05</v>
      </c>
      <c r="P157" s="165" t="s">
        <v>3802</v>
      </c>
      <c r="Q157" s="166"/>
      <c r="R157" s="166"/>
      <c r="S157" s="166"/>
      <c r="T157" s="166"/>
      <c r="U157" s="166"/>
      <c r="V157" s="166"/>
      <c r="W157" s="166"/>
      <c r="X157" s="166"/>
      <c r="Y157" s="166"/>
      <c r="Z157" s="166"/>
      <c r="AA157" s="166"/>
      <c r="AB157" s="166"/>
      <c r="AC157" s="166"/>
      <c r="AD157" s="167"/>
      <c r="AE157" s="161" t="str">
        <f t="shared" ref="AE157" ca="1" si="89">IFERROR(INDIRECT(P157&amp;"!D8"),"")</f>
        <v>sny_202310_enroll_kensa</v>
      </c>
      <c r="AF157" s="162"/>
      <c r="AG157" s="162"/>
      <c r="AH157" s="162"/>
      <c r="AI157" s="162"/>
      <c r="AJ157" s="162"/>
      <c r="AK157" s="162"/>
      <c r="AL157" s="163"/>
      <c r="AM157" s="161" t="str">
        <f t="shared" ref="AM157" ca="1" si="90">IFERROR(INDIRECT(P157&amp;"!D9"),"")</f>
        <v>検査データのテーブルから組入れ条件で絞り込んだ結果を登録するテーブル</v>
      </c>
      <c r="AN157" s="162"/>
      <c r="AO157" s="162"/>
      <c r="AP157" s="162"/>
      <c r="AQ157" s="162"/>
      <c r="AR157" s="162"/>
      <c r="AS157" s="162"/>
      <c r="AT157" s="162"/>
      <c r="AU157" s="162"/>
      <c r="AV157" s="162"/>
      <c r="AW157" s="162"/>
      <c r="AX157" s="162"/>
      <c r="AY157" s="162"/>
      <c r="AZ157" s="162"/>
      <c r="BA157" s="162"/>
      <c r="BB157" s="162"/>
      <c r="BC157" s="162"/>
      <c r="BD157" s="162"/>
      <c r="BE157" s="162"/>
      <c r="BF157" s="162"/>
      <c r="BG157" s="162"/>
      <c r="BH157" s="162"/>
      <c r="BI157" s="162"/>
      <c r="BJ157" s="164"/>
      <c r="BK157" s="32" t="str">
        <f t="shared" ref="BK157" si="91">IF(P157&lt;&gt;"",O157&amp;"_"&amp;P157&amp;".sql","")</f>
        <v>ENT_11_05_組入れ_対象検体検査.sql</v>
      </c>
    </row>
    <row r="158" spans="1:64" ht="37.5" customHeight="1">
      <c r="A158" s="34" t="str">
        <f t="shared" ref="A158" si="92">P158</f>
        <v>組入れ_対象検体検査_対象患者</v>
      </c>
      <c r="B158" s="148" t="str">
        <f t="shared" si="79"/>
        <v>11</v>
      </c>
      <c r="C158" s="149"/>
      <c r="D158" s="149"/>
      <c r="E158" s="149"/>
      <c r="F158" s="150"/>
      <c r="G158" s="151" t="s">
        <v>197</v>
      </c>
      <c r="H158" s="152"/>
      <c r="I158" s="152"/>
      <c r="J158" s="152"/>
      <c r="K158" s="152"/>
      <c r="L158" s="152"/>
      <c r="M158" s="152"/>
      <c r="N158" s="153"/>
      <c r="O158" s="79" t="str">
        <f t="shared" ref="O158" si="93">IF(P158&lt;&gt;"","ENT_"&amp;RIGHT(B158,2)&amp;"_"&amp;TEXT(ROW(O158)-ROW(O$153)+1,"00"),"")</f>
        <v>ENT_11_06</v>
      </c>
      <c r="P158" s="165" t="s">
        <v>4025</v>
      </c>
      <c r="Q158" s="166"/>
      <c r="R158" s="166"/>
      <c r="S158" s="166"/>
      <c r="T158" s="166"/>
      <c r="U158" s="166"/>
      <c r="V158" s="166"/>
      <c r="W158" s="166"/>
      <c r="X158" s="166"/>
      <c r="Y158" s="166"/>
      <c r="Z158" s="166"/>
      <c r="AA158" s="166"/>
      <c r="AB158" s="166"/>
      <c r="AC158" s="166"/>
      <c r="AD158" s="167"/>
      <c r="AE158" s="161" t="str">
        <f t="shared" ref="AE158" ca="1" si="94">IFERROR(INDIRECT(P158&amp;"!D8"),"")</f>
        <v>sny_202310_enroll_kensa_kanja</v>
      </c>
      <c r="AF158" s="162"/>
      <c r="AG158" s="162"/>
      <c r="AH158" s="162"/>
      <c r="AI158" s="162"/>
      <c r="AJ158" s="162"/>
      <c r="AK158" s="162"/>
      <c r="AL158" s="163"/>
      <c r="AM158" s="161" t="str">
        <f t="shared" ref="AM158" ca="1" si="95">IFERROR(INDIRECT(P158&amp;"!D9"),"")</f>
        <v>検査データのテーブルから組入れ条件（対象期間、表示名の種類）で絞り込んだ結果を登録するテーブル</v>
      </c>
      <c r="AN158" s="162"/>
      <c r="AO158" s="162"/>
      <c r="AP158" s="162"/>
      <c r="AQ158" s="162"/>
      <c r="AR158" s="162"/>
      <c r="AS158" s="162"/>
      <c r="AT158" s="162"/>
      <c r="AU158" s="162"/>
      <c r="AV158" s="162"/>
      <c r="AW158" s="162"/>
      <c r="AX158" s="162"/>
      <c r="AY158" s="162"/>
      <c r="AZ158" s="162"/>
      <c r="BA158" s="162"/>
      <c r="BB158" s="162"/>
      <c r="BC158" s="162"/>
      <c r="BD158" s="162"/>
      <c r="BE158" s="162"/>
      <c r="BF158" s="162"/>
      <c r="BG158" s="162"/>
      <c r="BH158" s="162"/>
      <c r="BI158" s="162"/>
      <c r="BJ158" s="164"/>
      <c r="BK158" s="32" t="str">
        <f t="shared" ref="BK158" si="96">IF(P158&lt;&gt;"",O158&amp;"_"&amp;P158&amp;".sql","")</f>
        <v>ENT_11_06_組入れ_対象検体検査_対象患者.sql</v>
      </c>
    </row>
    <row r="159" spans="1:64" ht="37.5" customHeight="1">
      <c r="A159" s="34" t="str">
        <f t="shared" ref="A159" si="97">P159</f>
        <v>組入れ_対象患者</v>
      </c>
      <c r="B159" s="148" t="str">
        <f t="shared" si="79"/>
        <v>11</v>
      </c>
      <c r="C159" s="149"/>
      <c r="D159" s="149"/>
      <c r="E159" s="149"/>
      <c r="F159" s="150"/>
      <c r="G159" s="151" t="s">
        <v>197</v>
      </c>
      <c r="H159" s="152"/>
      <c r="I159" s="152"/>
      <c r="J159" s="152"/>
      <c r="K159" s="152"/>
      <c r="L159" s="152"/>
      <c r="M159" s="152"/>
      <c r="N159" s="153"/>
      <c r="O159" s="79" t="str">
        <f t="shared" si="80"/>
        <v>ENT_11_07</v>
      </c>
      <c r="P159" s="165" t="s">
        <v>3816</v>
      </c>
      <c r="Q159" s="166"/>
      <c r="R159" s="166"/>
      <c r="S159" s="166"/>
      <c r="T159" s="166"/>
      <c r="U159" s="166"/>
      <c r="V159" s="166"/>
      <c r="W159" s="166"/>
      <c r="X159" s="166"/>
      <c r="Y159" s="166"/>
      <c r="Z159" s="166"/>
      <c r="AA159" s="166"/>
      <c r="AB159" s="166"/>
      <c r="AC159" s="166"/>
      <c r="AD159" s="167"/>
      <c r="AE159" s="161" t="str">
        <f t="shared" ref="AE159" ca="1" si="98">IFERROR(INDIRECT(P159&amp;"!D8"),"")</f>
        <v>sny_202310_enroll_kanja</v>
      </c>
      <c r="AF159" s="162"/>
      <c r="AG159" s="162"/>
      <c r="AH159" s="162"/>
      <c r="AI159" s="162"/>
      <c r="AJ159" s="162"/>
      <c r="AK159" s="162"/>
      <c r="AL159" s="163"/>
      <c r="AM159" s="161" t="str">
        <f t="shared" ref="AM159" ca="1" si="99">IFERROR(INDIRECT(P159&amp;"!D9"),"")</f>
        <v>組入れ_対象疾患テーブルから組入れ条件で絞り込んだ結果を格納するテーブル</v>
      </c>
      <c r="AN159" s="162"/>
      <c r="AO159" s="162"/>
      <c r="AP159" s="162"/>
      <c r="AQ159" s="162"/>
      <c r="AR159" s="162"/>
      <c r="AS159" s="162"/>
      <c r="AT159" s="162"/>
      <c r="AU159" s="162"/>
      <c r="AV159" s="162"/>
      <c r="AW159" s="162"/>
      <c r="AX159" s="162"/>
      <c r="AY159" s="162"/>
      <c r="AZ159" s="162"/>
      <c r="BA159" s="162"/>
      <c r="BB159" s="162"/>
      <c r="BC159" s="162"/>
      <c r="BD159" s="162"/>
      <c r="BE159" s="162"/>
      <c r="BF159" s="162"/>
      <c r="BG159" s="162"/>
      <c r="BH159" s="162"/>
      <c r="BI159" s="162"/>
      <c r="BJ159" s="164"/>
      <c r="BK159" s="32" t="str">
        <f t="shared" si="43"/>
        <v>ENT_11_07_組入れ_対象患者.sql</v>
      </c>
    </row>
    <row r="160" spans="1:64" ht="37.5" customHeight="1">
      <c r="A160" s="34" t="str">
        <f t="shared" si="78"/>
        <v>患者ID一覧マスタ</v>
      </c>
      <c r="B160" s="168" t="str">
        <f t="shared" ref="B160:B166" si="100">TEXT(21,"00")</f>
        <v>21</v>
      </c>
      <c r="C160" s="169"/>
      <c r="D160" s="169"/>
      <c r="E160" s="169"/>
      <c r="F160" s="170"/>
      <c r="G160" s="171" t="s">
        <v>305</v>
      </c>
      <c r="H160" s="172"/>
      <c r="I160" s="172"/>
      <c r="J160" s="172"/>
      <c r="K160" s="172"/>
      <c r="L160" s="172"/>
      <c r="M160" s="172"/>
      <c r="N160" s="173"/>
      <c r="O160" s="79" t="str">
        <f t="shared" ref="O160:O166" si="101">IF(P160&lt;&gt;"","ENT_"&amp;RIGHT(B160,2)&amp;"_"&amp;TEXT(ROW(O160)-ROW(O$160)+1,"00"),"")</f>
        <v>ENT_21_01</v>
      </c>
      <c r="P160" s="165" t="s">
        <v>3853</v>
      </c>
      <c r="Q160" s="166"/>
      <c r="R160" s="166"/>
      <c r="S160" s="166"/>
      <c r="T160" s="166"/>
      <c r="U160" s="166"/>
      <c r="V160" s="166"/>
      <c r="W160" s="166"/>
      <c r="X160" s="166"/>
      <c r="Y160" s="166"/>
      <c r="Z160" s="166"/>
      <c r="AA160" s="166"/>
      <c r="AB160" s="166"/>
      <c r="AC160" s="166"/>
      <c r="AD160" s="167"/>
      <c r="AE160" s="161" t="str">
        <f t="shared" ref="AE160:AE166" ca="1" si="102">IFERROR(INDIRECT(P160&amp;"!D8"),"")</f>
        <v>sny_202310_mt_kanja_list</v>
      </c>
      <c r="AF160" s="162"/>
      <c r="AG160" s="162"/>
      <c r="AH160" s="162"/>
      <c r="AI160" s="162"/>
      <c r="AJ160" s="162"/>
      <c r="AK160" s="162"/>
      <c r="AL160" s="163"/>
      <c r="AM160" s="161" t="str">
        <f t="shared" ref="AM160:AM166" ca="1" si="103">IFERROR(INDIRECT(P160&amp;"!D9"),"")</f>
        <v>患者ID一覧マスタ情報を格納するテーブル</v>
      </c>
      <c r="AN160" s="162"/>
      <c r="AO160" s="162"/>
      <c r="AP160" s="162"/>
      <c r="AQ160" s="162"/>
      <c r="AR160" s="162"/>
      <c r="AS160" s="162"/>
      <c r="AT160" s="162"/>
      <c r="AU160" s="162"/>
      <c r="AV160" s="162"/>
      <c r="AW160" s="162"/>
      <c r="AX160" s="162"/>
      <c r="AY160" s="162"/>
      <c r="AZ160" s="162"/>
      <c r="BA160" s="162"/>
      <c r="BB160" s="162"/>
      <c r="BC160" s="162"/>
      <c r="BD160" s="162"/>
      <c r="BE160" s="162"/>
      <c r="BF160" s="162"/>
      <c r="BG160" s="162"/>
      <c r="BH160" s="162"/>
      <c r="BI160" s="162"/>
      <c r="BJ160" s="164"/>
      <c r="BK160" s="32" t="str">
        <f t="shared" si="43"/>
        <v>ENT_21_01_患者ID一覧マスタ.sql</v>
      </c>
    </row>
    <row r="161" spans="1:63" ht="37.5" customHeight="1">
      <c r="A161" s="34" t="str">
        <f t="shared" si="78"/>
        <v>施設マスタ</v>
      </c>
      <c r="B161" s="148" t="str">
        <f t="shared" si="100"/>
        <v>21</v>
      </c>
      <c r="C161" s="149"/>
      <c r="D161" s="149"/>
      <c r="E161" s="149"/>
      <c r="F161" s="150"/>
      <c r="G161" s="151" t="s">
        <v>305</v>
      </c>
      <c r="H161" s="152"/>
      <c r="I161" s="152"/>
      <c r="J161" s="152"/>
      <c r="K161" s="152"/>
      <c r="L161" s="152"/>
      <c r="M161" s="152"/>
      <c r="N161" s="153"/>
      <c r="O161" s="79" t="str">
        <f>IF(P161&lt;&gt;"","ENT_"&amp;RIGHT(B161,2)&amp;"_"&amp;TEXT(ROW(O161)-ROW(O$160)+1,"00"),"")</f>
        <v>ENT_21_02</v>
      </c>
      <c r="P161" s="165" t="s">
        <v>3810</v>
      </c>
      <c r="Q161" s="166"/>
      <c r="R161" s="166"/>
      <c r="S161" s="166"/>
      <c r="T161" s="166"/>
      <c r="U161" s="166"/>
      <c r="V161" s="166"/>
      <c r="W161" s="166"/>
      <c r="X161" s="166"/>
      <c r="Y161" s="166"/>
      <c r="Z161" s="166"/>
      <c r="AA161" s="166"/>
      <c r="AB161" s="166"/>
      <c r="AC161" s="166"/>
      <c r="AD161" s="167"/>
      <c r="AE161" s="161" t="str">
        <f t="shared" ca="1" si="102"/>
        <v>sny_202310_mt_shisetsu</v>
      </c>
      <c r="AF161" s="162"/>
      <c r="AG161" s="162"/>
      <c r="AH161" s="162"/>
      <c r="AI161" s="162"/>
      <c r="AJ161" s="162"/>
      <c r="AK161" s="162"/>
      <c r="AL161" s="163"/>
      <c r="AM161" s="161" t="str">
        <f t="shared" ca="1" si="103"/>
        <v>組入れ_対象施設テーブルに施設マスクIDを付与した結果を格納するテーブル</v>
      </c>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4"/>
      <c r="BK161" s="32" t="str">
        <f t="shared" si="43"/>
        <v>ENT_21_02_施設マスタ.sql</v>
      </c>
    </row>
    <row r="162" spans="1:63" ht="37.5" customHeight="1">
      <c r="A162" s="34" t="str">
        <f t="shared" ref="A162:A163" si="104">P162</f>
        <v>患者マスタ</v>
      </c>
      <c r="B162" s="148" t="str">
        <f t="shared" si="100"/>
        <v>21</v>
      </c>
      <c r="C162" s="149"/>
      <c r="D162" s="149"/>
      <c r="E162" s="149"/>
      <c r="F162" s="150"/>
      <c r="G162" s="151" t="s">
        <v>305</v>
      </c>
      <c r="H162" s="152"/>
      <c r="I162" s="152"/>
      <c r="J162" s="152"/>
      <c r="K162" s="152"/>
      <c r="L162" s="152"/>
      <c r="M162" s="152"/>
      <c r="N162" s="153"/>
      <c r="O162" s="79" t="str">
        <f t="shared" si="101"/>
        <v>ENT_21_03</v>
      </c>
      <c r="P162" s="165" t="s">
        <v>3811</v>
      </c>
      <c r="Q162" s="166"/>
      <c r="R162" s="166"/>
      <c r="S162" s="166"/>
      <c r="T162" s="166"/>
      <c r="U162" s="166"/>
      <c r="V162" s="166"/>
      <c r="W162" s="166"/>
      <c r="X162" s="166"/>
      <c r="Y162" s="166"/>
      <c r="Z162" s="166"/>
      <c r="AA162" s="166"/>
      <c r="AB162" s="166"/>
      <c r="AC162" s="166"/>
      <c r="AD162" s="167"/>
      <c r="AE162" s="161" t="str">
        <f t="shared" ca="1" si="102"/>
        <v>sny_202310_mt_kanja</v>
      </c>
      <c r="AF162" s="162"/>
      <c r="AG162" s="162"/>
      <c r="AH162" s="162"/>
      <c r="AI162" s="162"/>
      <c r="AJ162" s="162"/>
      <c r="AK162" s="162"/>
      <c r="AL162" s="163"/>
      <c r="AM162" s="161" t="str">
        <f t="shared" ca="1" si="103"/>
        <v>患者ID一覧マスタテーブルを施設IDと紐づけIDで集約し、マスクIDを付与した結果を格納するテーブル</v>
      </c>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4"/>
      <c r="BK162" s="32" t="str">
        <f t="shared" ref="BK162:BK163" si="105">IF(P162&lt;&gt;"",O162&amp;"_"&amp;P162&amp;".sql","")</f>
        <v>ENT_21_03_患者マスタ.sql</v>
      </c>
    </row>
    <row r="163" spans="1:63" ht="37.5" customHeight="1">
      <c r="A163" s="34" t="str">
        <f t="shared" si="104"/>
        <v>疾患マスタ</v>
      </c>
      <c r="B163" s="148" t="str">
        <f t="shared" si="100"/>
        <v>21</v>
      </c>
      <c r="C163" s="149"/>
      <c r="D163" s="149"/>
      <c r="E163" s="149"/>
      <c r="F163" s="150"/>
      <c r="G163" s="151" t="s">
        <v>305</v>
      </c>
      <c r="H163" s="152"/>
      <c r="I163" s="152"/>
      <c r="J163" s="152"/>
      <c r="K163" s="152"/>
      <c r="L163" s="152"/>
      <c r="M163" s="152"/>
      <c r="N163" s="153"/>
      <c r="O163" s="79" t="str">
        <f t="shared" si="101"/>
        <v>ENT_21_04</v>
      </c>
      <c r="P163" s="165" t="s">
        <v>3812</v>
      </c>
      <c r="Q163" s="166"/>
      <c r="R163" s="166"/>
      <c r="S163" s="166"/>
      <c r="T163" s="166"/>
      <c r="U163" s="166"/>
      <c r="V163" s="166"/>
      <c r="W163" s="166"/>
      <c r="X163" s="166"/>
      <c r="Y163" s="166"/>
      <c r="Z163" s="166"/>
      <c r="AA163" s="166"/>
      <c r="AB163" s="166"/>
      <c r="AC163" s="166"/>
      <c r="AD163" s="167"/>
      <c r="AE163" s="161" t="str">
        <f t="shared" ca="1" si="102"/>
        <v>sny_202310_mt_shikkan</v>
      </c>
      <c r="AF163" s="162"/>
      <c r="AG163" s="162"/>
      <c r="AH163" s="162"/>
      <c r="AI163" s="162"/>
      <c r="AJ163" s="162"/>
      <c r="AK163" s="162"/>
      <c r="AL163" s="163"/>
      <c r="AM163" s="161" t="str">
        <f t="shared" ca="1" si="103"/>
        <v>疾患マスタ情報を格納するテーブル</v>
      </c>
      <c r="AN163" s="162"/>
      <c r="AO163" s="162"/>
      <c r="AP163" s="162"/>
      <c r="AQ163" s="162"/>
      <c r="AR163" s="162"/>
      <c r="AS163" s="162"/>
      <c r="AT163" s="162"/>
      <c r="AU163" s="162"/>
      <c r="AV163" s="162"/>
      <c r="AW163" s="162"/>
      <c r="AX163" s="162"/>
      <c r="AY163" s="162"/>
      <c r="AZ163" s="162"/>
      <c r="BA163" s="162"/>
      <c r="BB163" s="162"/>
      <c r="BC163" s="162"/>
      <c r="BD163" s="162"/>
      <c r="BE163" s="162"/>
      <c r="BF163" s="162"/>
      <c r="BG163" s="162"/>
      <c r="BH163" s="162"/>
      <c r="BI163" s="162"/>
      <c r="BJ163" s="164"/>
      <c r="BK163" s="32" t="str">
        <f t="shared" si="105"/>
        <v>ENT_21_04_疾患マスタ.sql</v>
      </c>
    </row>
    <row r="164" spans="1:63" ht="37.5" customHeight="1">
      <c r="A164" s="34" t="str">
        <f t="shared" ref="A164" si="106">P164</f>
        <v>薬剤マスタ</v>
      </c>
      <c r="B164" s="148" t="str">
        <f t="shared" si="100"/>
        <v>21</v>
      </c>
      <c r="C164" s="149"/>
      <c r="D164" s="149"/>
      <c r="E164" s="149"/>
      <c r="F164" s="150"/>
      <c r="G164" s="151" t="s">
        <v>305</v>
      </c>
      <c r="H164" s="152"/>
      <c r="I164" s="152"/>
      <c r="J164" s="152"/>
      <c r="K164" s="152"/>
      <c r="L164" s="152"/>
      <c r="M164" s="152"/>
      <c r="N164" s="153"/>
      <c r="O164" s="79" t="str">
        <f t="shared" si="101"/>
        <v>ENT_21_05</v>
      </c>
      <c r="P164" s="165" t="s">
        <v>3813</v>
      </c>
      <c r="Q164" s="166"/>
      <c r="R164" s="166"/>
      <c r="S164" s="166"/>
      <c r="T164" s="166"/>
      <c r="U164" s="166"/>
      <c r="V164" s="166"/>
      <c r="W164" s="166"/>
      <c r="X164" s="166"/>
      <c r="Y164" s="166"/>
      <c r="Z164" s="166"/>
      <c r="AA164" s="166"/>
      <c r="AB164" s="166"/>
      <c r="AC164" s="166"/>
      <c r="AD164" s="167"/>
      <c r="AE164" s="161" t="str">
        <f t="shared" ca="1" si="102"/>
        <v>sny_202310_mt_yakuzai</v>
      </c>
      <c r="AF164" s="162"/>
      <c r="AG164" s="162"/>
      <c r="AH164" s="162"/>
      <c r="AI164" s="162"/>
      <c r="AJ164" s="162"/>
      <c r="AK164" s="162"/>
      <c r="AL164" s="163"/>
      <c r="AM164" s="161" t="str">
        <f t="shared" ca="1" si="103"/>
        <v>薬剤マスタ情報を格納するテーブル</v>
      </c>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4"/>
      <c r="BK164" s="32" t="str">
        <f t="shared" ref="BK164" si="107">IF(P164&lt;&gt;"",O164&amp;"_"&amp;P164&amp;".sql","")</f>
        <v>ENT_21_05_薬剤マスタ.sql</v>
      </c>
    </row>
    <row r="165" spans="1:63" ht="37.5" customHeight="1">
      <c r="A165" s="34" t="str">
        <f t="shared" ref="A165" si="108">P165</f>
        <v>検体検査マスタ</v>
      </c>
      <c r="B165" s="148" t="str">
        <f t="shared" si="100"/>
        <v>21</v>
      </c>
      <c r="C165" s="149"/>
      <c r="D165" s="149"/>
      <c r="E165" s="149"/>
      <c r="F165" s="150"/>
      <c r="G165" s="151" t="s">
        <v>305</v>
      </c>
      <c r="H165" s="152"/>
      <c r="I165" s="152"/>
      <c r="J165" s="152"/>
      <c r="K165" s="152"/>
      <c r="L165" s="152"/>
      <c r="M165" s="152"/>
      <c r="N165" s="153"/>
      <c r="O165" s="79" t="str">
        <f t="shared" ref="O165" si="109">IF(P165&lt;&gt;"","ENT_"&amp;RIGHT(B165,2)&amp;"_"&amp;TEXT(ROW(O165)-ROW(O$160)+1,"00"),"")</f>
        <v>ENT_21_06</v>
      </c>
      <c r="P165" s="165" t="s">
        <v>3814</v>
      </c>
      <c r="Q165" s="166"/>
      <c r="R165" s="166"/>
      <c r="S165" s="166"/>
      <c r="T165" s="166"/>
      <c r="U165" s="166"/>
      <c r="V165" s="166"/>
      <c r="W165" s="166"/>
      <c r="X165" s="166"/>
      <c r="Y165" s="166"/>
      <c r="Z165" s="166"/>
      <c r="AA165" s="166"/>
      <c r="AB165" s="166"/>
      <c r="AC165" s="166"/>
      <c r="AD165" s="167"/>
      <c r="AE165" s="161" t="str">
        <f t="shared" ref="AE165" ca="1" si="110">IFERROR(INDIRECT(P165&amp;"!D8"),"")</f>
        <v>sny_202310_mt_kensa</v>
      </c>
      <c r="AF165" s="162"/>
      <c r="AG165" s="162"/>
      <c r="AH165" s="162"/>
      <c r="AI165" s="162"/>
      <c r="AJ165" s="162"/>
      <c r="AK165" s="162"/>
      <c r="AL165" s="163"/>
      <c r="AM165" s="161" t="str">
        <f t="shared" ref="AM165" ca="1" si="111">IFERROR(INDIRECT(P165&amp;"!D9"),"")</f>
        <v>検体検査マスタ情報を格納するテーブル</v>
      </c>
      <c r="AN165" s="162"/>
      <c r="AO165" s="162"/>
      <c r="AP165" s="162"/>
      <c r="AQ165" s="162"/>
      <c r="AR165" s="162"/>
      <c r="AS165" s="162"/>
      <c r="AT165" s="162"/>
      <c r="AU165" s="162"/>
      <c r="AV165" s="162"/>
      <c r="AW165" s="162"/>
      <c r="AX165" s="162"/>
      <c r="AY165" s="162"/>
      <c r="AZ165" s="162"/>
      <c r="BA165" s="162"/>
      <c r="BB165" s="162"/>
      <c r="BC165" s="162"/>
      <c r="BD165" s="162"/>
      <c r="BE165" s="162"/>
      <c r="BF165" s="162"/>
      <c r="BG165" s="162"/>
      <c r="BH165" s="162"/>
      <c r="BI165" s="162"/>
      <c r="BJ165" s="164"/>
      <c r="BK165" s="32" t="str">
        <f t="shared" ref="BK165" si="112">IF(P165&lt;&gt;"",O165&amp;"_"&amp;P165&amp;".sql","")</f>
        <v>ENT_21_06_検体検査マスタ.sql</v>
      </c>
    </row>
    <row r="166" spans="1:63" ht="37.5" customHeight="1">
      <c r="A166" s="34" t="str">
        <f t="shared" ref="A166" si="113">P166</f>
        <v>診療行為マスタ</v>
      </c>
      <c r="B166" s="177" t="str">
        <f t="shared" si="100"/>
        <v>21</v>
      </c>
      <c r="C166" s="178"/>
      <c r="D166" s="178"/>
      <c r="E166" s="178"/>
      <c r="F166" s="179"/>
      <c r="G166" s="174" t="s">
        <v>305</v>
      </c>
      <c r="H166" s="175"/>
      <c r="I166" s="175"/>
      <c r="J166" s="175"/>
      <c r="K166" s="175"/>
      <c r="L166" s="175"/>
      <c r="M166" s="175"/>
      <c r="N166" s="176"/>
      <c r="O166" s="79" t="str">
        <f t="shared" si="101"/>
        <v>ENT_21_07</v>
      </c>
      <c r="P166" s="165" t="s">
        <v>4088</v>
      </c>
      <c r="Q166" s="166"/>
      <c r="R166" s="166"/>
      <c r="S166" s="166"/>
      <c r="T166" s="166"/>
      <c r="U166" s="166"/>
      <c r="V166" s="166"/>
      <c r="W166" s="166"/>
      <c r="X166" s="166"/>
      <c r="Y166" s="166"/>
      <c r="Z166" s="166"/>
      <c r="AA166" s="166"/>
      <c r="AB166" s="166"/>
      <c r="AC166" s="166"/>
      <c r="AD166" s="167"/>
      <c r="AE166" s="161" t="str">
        <f t="shared" ca="1" si="102"/>
        <v>sny_202310_mt_shinryo_koi</v>
      </c>
      <c r="AF166" s="162"/>
      <c r="AG166" s="162"/>
      <c r="AH166" s="162"/>
      <c r="AI166" s="162"/>
      <c r="AJ166" s="162"/>
      <c r="AK166" s="162"/>
      <c r="AL166" s="163"/>
      <c r="AM166" s="161" t="str">
        <f t="shared" ca="1" si="103"/>
        <v>診療行為マスタ情報を格納するテーブル</v>
      </c>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4"/>
      <c r="BK166" s="32" t="str">
        <f t="shared" ref="BK166" si="114">IF(P166&lt;&gt;"",O166&amp;"_"&amp;P166&amp;".sql","")</f>
        <v>ENT_21_07_診療行為マスタ.sql</v>
      </c>
    </row>
    <row r="167" spans="1:63" ht="37.5" hidden="1" customHeight="1" outlineLevel="1">
      <c r="A167" s="34" t="str">
        <f t="shared" si="78"/>
        <v>ベース_処方データ</v>
      </c>
      <c r="B167" s="168" t="str">
        <f>TEXT(31,"00")</f>
        <v>31</v>
      </c>
      <c r="C167" s="169"/>
      <c r="D167" s="169"/>
      <c r="E167" s="169"/>
      <c r="F167" s="170"/>
      <c r="G167" s="171" t="s">
        <v>308</v>
      </c>
      <c r="H167" s="172"/>
      <c r="I167" s="172"/>
      <c r="J167" s="172"/>
      <c r="K167" s="172"/>
      <c r="L167" s="172"/>
      <c r="M167" s="172"/>
      <c r="N167" s="173"/>
      <c r="O167" s="79" t="s">
        <v>4028</v>
      </c>
      <c r="P167" s="165" t="s">
        <v>3706</v>
      </c>
      <c r="Q167" s="166"/>
      <c r="R167" s="166"/>
      <c r="S167" s="166"/>
      <c r="T167" s="166"/>
      <c r="U167" s="166"/>
      <c r="V167" s="166"/>
      <c r="W167" s="166"/>
      <c r="X167" s="166"/>
      <c r="Y167" s="166"/>
      <c r="Z167" s="166"/>
      <c r="AA167" s="166"/>
      <c r="AB167" s="166"/>
      <c r="AC167" s="166"/>
      <c r="AD167" s="167"/>
      <c r="AE167" s="161" t="str">
        <f t="shared" ref="AE167" ca="1" si="115">IFERROR(INDIRECT(P167&amp;"!D8"),"")</f>
        <v>sny_202310_base_mart_shohou</v>
      </c>
      <c r="AF167" s="162"/>
      <c r="AG167" s="162"/>
      <c r="AH167" s="162"/>
      <c r="AI167" s="162"/>
      <c r="AJ167" s="162"/>
      <c r="AK167" s="162"/>
      <c r="AL167" s="163"/>
      <c r="AM167" s="161" t="str">
        <f t="shared" ref="AM167" ca="1" si="116">IFERROR(INDIRECT(P167&amp;"!D9"),"")</f>
        <v>バックアップ_処方データテーブルから対象患者で絞り込んだ結果を格納するテーブル</v>
      </c>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4"/>
      <c r="BK167" s="32" t="str">
        <f t="shared" si="43"/>
        <v>ENT_31_A1-02_ベース_処方データ.sql</v>
      </c>
    </row>
    <row r="168" spans="1:63" ht="37.5" hidden="1" customHeight="1" outlineLevel="1">
      <c r="A168" s="34" t="str">
        <f t="shared" ref="A168:A205" si="117">P168</f>
        <v>ベース_診療行為データ</v>
      </c>
      <c r="B168" s="148" t="str">
        <f t="shared" ref="B168:B200" si="118">TEXT(31,"00")</f>
        <v>31</v>
      </c>
      <c r="C168" s="149"/>
      <c r="D168" s="149"/>
      <c r="E168" s="149"/>
      <c r="F168" s="150"/>
      <c r="G168" s="151" t="s">
        <v>308</v>
      </c>
      <c r="H168" s="152"/>
      <c r="I168" s="152"/>
      <c r="J168" s="152"/>
      <c r="K168" s="152"/>
      <c r="L168" s="152"/>
      <c r="M168" s="152"/>
      <c r="N168" s="153"/>
      <c r="O168" s="79" t="s">
        <v>4029</v>
      </c>
      <c r="P168" s="165" t="s">
        <v>3707</v>
      </c>
      <c r="Q168" s="166"/>
      <c r="R168" s="166"/>
      <c r="S168" s="166"/>
      <c r="T168" s="166"/>
      <c r="U168" s="166"/>
      <c r="V168" s="166"/>
      <c r="W168" s="166"/>
      <c r="X168" s="166"/>
      <c r="Y168" s="166"/>
      <c r="Z168" s="166"/>
      <c r="AA168" s="166"/>
      <c r="AB168" s="166"/>
      <c r="AC168" s="166"/>
      <c r="AD168" s="167"/>
      <c r="AE168" s="161" t="str">
        <f t="shared" ref="AE168:AE206" ca="1" si="119">IFERROR(INDIRECT(P168&amp;"!D8"),"")</f>
        <v>sny_202310_base_mart_shinryou_koui</v>
      </c>
      <c r="AF168" s="162"/>
      <c r="AG168" s="162"/>
      <c r="AH168" s="162"/>
      <c r="AI168" s="162"/>
      <c r="AJ168" s="162"/>
      <c r="AK168" s="162"/>
      <c r="AL168" s="163"/>
      <c r="AM168" s="161" t="str">
        <f t="shared" ref="AM168:AM206" ca="1" si="120">IFERROR(INDIRECT(P168&amp;"!D9"),"")</f>
        <v>バックアップ_診療行為データテーブルから対象患者で絞り込んだ結果を格納するテーブル</v>
      </c>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4"/>
      <c r="BK168" s="32" t="str">
        <f t="shared" ref="BK168:BK206" si="121">IF(P168&lt;&gt;"",O168&amp;"_"&amp;P168&amp;".sql","")</f>
        <v>ENT_31_A1-03_ベース_診療行為データ.sql</v>
      </c>
    </row>
    <row r="169" spans="1:63" ht="37.5" hidden="1" customHeight="1" outlineLevel="1">
      <c r="A169" s="34" t="str">
        <f t="shared" si="117"/>
        <v>ベース_入院退院データ</v>
      </c>
      <c r="B169" s="148" t="str">
        <f t="shared" si="118"/>
        <v>31</v>
      </c>
      <c r="C169" s="149"/>
      <c r="D169" s="149"/>
      <c r="E169" s="149"/>
      <c r="F169" s="150"/>
      <c r="G169" s="151" t="s">
        <v>308</v>
      </c>
      <c r="H169" s="152"/>
      <c r="I169" s="152"/>
      <c r="J169" s="152"/>
      <c r="K169" s="152"/>
      <c r="L169" s="152"/>
      <c r="M169" s="152"/>
      <c r="N169" s="153"/>
      <c r="O169" s="79" t="s">
        <v>4030</v>
      </c>
      <c r="P169" s="165" t="s">
        <v>3708</v>
      </c>
      <c r="Q169" s="166"/>
      <c r="R169" s="166"/>
      <c r="S169" s="166"/>
      <c r="T169" s="166"/>
      <c r="U169" s="166"/>
      <c r="V169" s="166"/>
      <c r="W169" s="166"/>
      <c r="X169" s="166"/>
      <c r="Y169" s="166"/>
      <c r="Z169" s="166"/>
      <c r="AA169" s="166"/>
      <c r="AB169" s="166"/>
      <c r="AC169" s="166"/>
      <c r="AD169" s="167"/>
      <c r="AE169" s="161" t="str">
        <f t="shared" ca="1" si="119"/>
        <v>sny_202310_base_mart_nyu_tai_in</v>
      </c>
      <c r="AF169" s="162"/>
      <c r="AG169" s="162"/>
      <c r="AH169" s="162"/>
      <c r="AI169" s="162"/>
      <c r="AJ169" s="162"/>
      <c r="AK169" s="162"/>
      <c r="AL169" s="163"/>
      <c r="AM169" s="161" t="str">
        <f t="shared" ca="1" si="120"/>
        <v>バックアップ_入院退院データテーブルから対象患者で絞り込んだ結果を格納するテーブル</v>
      </c>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4"/>
      <c r="BK169" s="32" t="str">
        <f t="shared" si="121"/>
        <v>ENT_31_A1-06_ベース_入院退院データ.sql</v>
      </c>
    </row>
    <row r="170" spans="1:63" ht="37.5" hidden="1" customHeight="1" outlineLevel="1">
      <c r="A170" s="34" t="str">
        <f t="shared" si="117"/>
        <v>ベース_患者基本データ</v>
      </c>
      <c r="B170" s="148" t="str">
        <f t="shared" si="118"/>
        <v>31</v>
      </c>
      <c r="C170" s="149"/>
      <c r="D170" s="149"/>
      <c r="E170" s="149"/>
      <c r="F170" s="150"/>
      <c r="G170" s="151" t="s">
        <v>308</v>
      </c>
      <c r="H170" s="152"/>
      <c r="I170" s="152"/>
      <c r="J170" s="152"/>
      <c r="K170" s="152"/>
      <c r="L170" s="152"/>
      <c r="M170" s="152"/>
      <c r="N170" s="153"/>
      <c r="O170" s="79" t="s">
        <v>4031</v>
      </c>
      <c r="P170" s="165" t="s">
        <v>3709</v>
      </c>
      <c r="Q170" s="166"/>
      <c r="R170" s="166"/>
      <c r="S170" s="166"/>
      <c r="T170" s="166"/>
      <c r="U170" s="166"/>
      <c r="V170" s="166"/>
      <c r="W170" s="166"/>
      <c r="X170" s="166"/>
      <c r="Y170" s="166"/>
      <c r="Z170" s="166"/>
      <c r="AA170" s="166"/>
      <c r="AB170" s="166"/>
      <c r="AC170" s="166"/>
      <c r="AD170" s="167"/>
      <c r="AE170" s="161" t="str">
        <f t="shared" ca="1" si="119"/>
        <v>sny_202310_base_mart_patient_basic</v>
      </c>
      <c r="AF170" s="162"/>
      <c r="AG170" s="162"/>
      <c r="AH170" s="162"/>
      <c r="AI170" s="162"/>
      <c r="AJ170" s="162"/>
      <c r="AK170" s="162"/>
      <c r="AL170" s="163"/>
      <c r="AM170" s="161" t="str">
        <f t="shared" ca="1" si="120"/>
        <v>バックアップ_患者基本データテーブルから対象患者で絞り込んだ結果を格納するテーブル</v>
      </c>
      <c r="AN170" s="162"/>
      <c r="AO170" s="162"/>
      <c r="AP170" s="162"/>
      <c r="AQ170" s="162"/>
      <c r="AR170" s="162"/>
      <c r="AS170" s="162"/>
      <c r="AT170" s="162"/>
      <c r="AU170" s="162"/>
      <c r="AV170" s="162"/>
      <c r="AW170" s="162"/>
      <c r="AX170" s="162"/>
      <c r="AY170" s="162"/>
      <c r="AZ170" s="162"/>
      <c r="BA170" s="162"/>
      <c r="BB170" s="162"/>
      <c r="BC170" s="162"/>
      <c r="BD170" s="162"/>
      <c r="BE170" s="162"/>
      <c r="BF170" s="162"/>
      <c r="BG170" s="162"/>
      <c r="BH170" s="162"/>
      <c r="BI170" s="162"/>
      <c r="BJ170" s="164"/>
      <c r="BK170" s="32" t="str">
        <f t="shared" si="121"/>
        <v>ENT_31_A1-14_ベース_患者基本データ.sql</v>
      </c>
    </row>
    <row r="171" spans="1:63" ht="37.5" hidden="1" customHeight="1" outlineLevel="1">
      <c r="A171" s="34" t="str">
        <f t="shared" si="117"/>
        <v>ベース_MML共通</v>
      </c>
      <c r="B171" s="148" t="str">
        <f t="shared" si="118"/>
        <v>31</v>
      </c>
      <c r="C171" s="149"/>
      <c r="D171" s="149"/>
      <c r="E171" s="149"/>
      <c r="F171" s="150"/>
      <c r="G171" s="151" t="s">
        <v>308</v>
      </c>
      <c r="H171" s="152"/>
      <c r="I171" s="152"/>
      <c r="J171" s="152"/>
      <c r="K171" s="152"/>
      <c r="L171" s="152"/>
      <c r="M171" s="152"/>
      <c r="N171" s="153"/>
      <c r="O171" s="79" t="s">
        <v>4032</v>
      </c>
      <c r="P171" s="165" t="s">
        <v>3710</v>
      </c>
      <c r="Q171" s="166"/>
      <c r="R171" s="166"/>
      <c r="S171" s="166"/>
      <c r="T171" s="166"/>
      <c r="U171" s="166"/>
      <c r="V171" s="166"/>
      <c r="W171" s="166"/>
      <c r="X171" s="166"/>
      <c r="Y171" s="166"/>
      <c r="Z171" s="166"/>
      <c r="AA171" s="166"/>
      <c r="AB171" s="166"/>
      <c r="AC171" s="166"/>
      <c r="AD171" s="167"/>
      <c r="AE171" s="161" t="str">
        <f t="shared" ca="1" si="119"/>
        <v>sny_202310_base_text_mml_common</v>
      </c>
      <c r="AF171" s="162"/>
      <c r="AG171" s="162"/>
      <c r="AH171" s="162"/>
      <c r="AI171" s="162"/>
      <c r="AJ171" s="162"/>
      <c r="AK171" s="162"/>
      <c r="AL171" s="163"/>
      <c r="AM171" s="161" t="str">
        <f t="shared" ca="1" si="120"/>
        <v>バックアップ_MML共通テーブルから対象患者で絞り込んだ結果を格納するテーブル</v>
      </c>
      <c r="AN171" s="162"/>
      <c r="AO171" s="162"/>
      <c r="AP171" s="162"/>
      <c r="AQ171" s="162"/>
      <c r="AR171" s="162"/>
      <c r="AS171" s="162"/>
      <c r="AT171" s="162"/>
      <c r="AU171" s="162"/>
      <c r="AV171" s="162"/>
      <c r="AW171" s="162"/>
      <c r="AX171" s="162"/>
      <c r="AY171" s="162"/>
      <c r="AZ171" s="162"/>
      <c r="BA171" s="162"/>
      <c r="BB171" s="162"/>
      <c r="BC171" s="162"/>
      <c r="BD171" s="162"/>
      <c r="BE171" s="162"/>
      <c r="BF171" s="162"/>
      <c r="BG171" s="162"/>
      <c r="BH171" s="162"/>
      <c r="BI171" s="162"/>
      <c r="BJ171" s="164"/>
      <c r="BK171" s="32" t="str">
        <f t="shared" si="121"/>
        <v>ENT_31_A6-02_ベース_MML共通.sql</v>
      </c>
    </row>
    <row r="172" spans="1:63" ht="37.5" hidden="1" customHeight="1" outlineLevel="1">
      <c r="A172" s="34" t="str">
        <f t="shared" si="117"/>
        <v>ベース_MML_診断履歴情報モジュール_本文</v>
      </c>
      <c r="B172" s="148" t="str">
        <f t="shared" si="118"/>
        <v>31</v>
      </c>
      <c r="C172" s="149"/>
      <c r="D172" s="149"/>
      <c r="E172" s="149"/>
      <c r="F172" s="150"/>
      <c r="G172" s="151" t="s">
        <v>308</v>
      </c>
      <c r="H172" s="152"/>
      <c r="I172" s="152"/>
      <c r="J172" s="152"/>
      <c r="K172" s="152"/>
      <c r="L172" s="152"/>
      <c r="M172" s="152"/>
      <c r="N172" s="153"/>
      <c r="O172" s="79" t="s">
        <v>4033</v>
      </c>
      <c r="P172" s="165" t="s">
        <v>3711</v>
      </c>
      <c r="Q172" s="166"/>
      <c r="R172" s="166"/>
      <c r="S172" s="166"/>
      <c r="T172" s="166"/>
      <c r="U172" s="166"/>
      <c r="V172" s="166"/>
      <c r="W172" s="166"/>
      <c r="X172" s="166"/>
      <c r="Y172" s="166"/>
      <c r="Z172" s="166"/>
      <c r="AA172" s="166"/>
      <c r="AB172" s="166"/>
      <c r="AC172" s="166"/>
      <c r="AD172" s="167"/>
      <c r="AE172" s="161" t="str">
        <f t="shared" ca="1" si="119"/>
        <v>sny_202310_base_text_mml_mmlrd_body</v>
      </c>
      <c r="AF172" s="162"/>
      <c r="AG172" s="162"/>
      <c r="AH172" s="162"/>
      <c r="AI172" s="162"/>
      <c r="AJ172" s="162"/>
      <c r="AK172" s="162"/>
      <c r="AL172" s="163"/>
      <c r="AM172" s="161" t="str">
        <f t="shared" ca="1" si="120"/>
        <v>バックアップ_MML_診断履歴情報モジュール_本文テーブルから対象患者で絞り込んだ結果を格納するテーブル</v>
      </c>
      <c r="AN172" s="162"/>
      <c r="AO172" s="162"/>
      <c r="AP172" s="162"/>
      <c r="AQ172" s="162"/>
      <c r="AR172" s="162"/>
      <c r="AS172" s="162"/>
      <c r="AT172" s="162"/>
      <c r="AU172" s="162"/>
      <c r="AV172" s="162"/>
      <c r="AW172" s="162"/>
      <c r="AX172" s="162"/>
      <c r="AY172" s="162"/>
      <c r="AZ172" s="162"/>
      <c r="BA172" s="162"/>
      <c r="BB172" s="162"/>
      <c r="BC172" s="162"/>
      <c r="BD172" s="162"/>
      <c r="BE172" s="162"/>
      <c r="BF172" s="162"/>
      <c r="BG172" s="162"/>
      <c r="BH172" s="162"/>
      <c r="BI172" s="162"/>
      <c r="BJ172" s="164"/>
      <c r="BK172" s="32" t="str">
        <f t="shared" si="121"/>
        <v>ENT_31_A6-03_ベース_MML_診断履歴情報モジュール_本文.sql</v>
      </c>
    </row>
    <row r="173" spans="1:63" ht="37.5" hidden="1" customHeight="1" outlineLevel="1">
      <c r="A173" s="34" t="str">
        <f t="shared" si="117"/>
        <v>ベース_MML_診断履歴情報モジュール_病名</v>
      </c>
      <c r="B173" s="148" t="str">
        <f t="shared" si="118"/>
        <v>31</v>
      </c>
      <c r="C173" s="149"/>
      <c r="D173" s="149"/>
      <c r="E173" s="149"/>
      <c r="F173" s="150"/>
      <c r="G173" s="151" t="s">
        <v>308</v>
      </c>
      <c r="H173" s="152"/>
      <c r="I173" s="152"/>
      <c r="J173" s="152"/>
      <c r="K173" s="152"/>
      <c r="L173" s="152"/>
      <c r="M173" s="152"/>
      <c r="N173" s="153"/>
      <c r="O173" s="79" t="s">
        <v>4034</v>
      </c>
      <c r="P173" s="165" t="s">
        <v>3712</v>
      </c>
      <c r="Q173" s="166"/>
      <c r="R173" s="166"/>
      <c r="S173" s="166"/>
      <c r="T173" s="166"/>
      <c r="U173" s="166"/>
      <c r="V173" s="166"/>
      <c r="W173" s="166"/>
      <c r="X173" s="166"/>
      <c r="Y173" s="166"/>
      <c r="Z173" s="166"/>
      <c r="AA173" s="166"/>
      <c r="AB173" s="166"/>
      <c r="AC173" s="166"/>
      <c r="AD173" s="167"/>
      <c r="AE173" s="161" t="str">
        <f t="shared" ca="1" si="119"/>
        <v>sny_202310_base_text_mml_mmlrd_byomei</v>
      </c>
      <c r="AF173" s="162"/>
      <c r="AG173" s="162"/>
      <c r="AH173" s="162"/>
      <c r="AI173" s="162"/>
      <c r="AJ173" s="162"/>
      <c r="AK173" s="162"/>
      <c r="AL173" s="163"/>
      <c r="AM173" s="161" t="str">
        <f t="shared" ca="1" si="120"/>
        <v>バックアップ_MML_診断履歴情報モジュール_病名テーブルから対象患者で絞り込んだ結果を格納するテーブル</v>
      </c>
      <c r="AN173" s="162"/>
      <c r="AO173" s="162"/>
      <c r="AP173" s="162"/>
      <c r="AQ173" s="162"/>
      <c r="AR173" s="162"/>
      <c r="AS173" s="162"/>
      <c r="AT173" s="162"/>
      <c r="AU173" s="162"/>
      <c r="AV173" s="162"/>
      <c r="AW173" s="162"/>
      <c r="AX173" s="162"/>
      <c r="AY173" s="162"/>
      <c r="AZ173" s="162"/>
      <c r="BA173" s="162"/>
      <c r="BB173" s="162"/>
      <c r="BC173" s="162"/>
      <c r="BD173" s="162"/>
      <c r="BE173" s="162"/>
      <c r="BF173" s="162"/>
      <c r="BG173" s="162"/>
      <c r="BH173" s="162"/>
      <c r="BI173" s="162"/>
      <c r="BJ173" s="164"/>
      <c r="BK173" s="32" t="str">
        <f t="shared" si="121"/>
        <v>ENT_31_A6-04_ベース_MML_診断履歴情報モジュール_病名.sql</v>
      </c>
    </row>
    <row r="174" spans="1:63" ht="37.5" hidden="1" customHeight="1" outlineLevel="1">
      <c r="A174" s="34" t="str">
        <f t="shared" ref="A174:A179" si="122">P174</f>
        <v>ベース_MML_検歴情報モジュール_本文</v>
      </c>
      <c r="B174" s="148" t="str">
        <f t="shared" si="118"/>
        <v>31</v>
      </c>
      <c r="C174" s="149"/>
      <c r="D174" s="149"/>
      <c r="E174" s="149"/>
      <c r="F174" s="150"/>
      <c r="G174" s="151" t="s">
        <v>308</v>
      </c>
      <c r="H174" s="152"/>
      <c r="I174" s="152"/>
      <c r="J174" s="152"/>
      <c r="K174" s="152"/>
      <c r="L174" s="152"/>
      <c r="M174" s="152"/>
      <c r="N174" s="153"/>
      <c r="O174" s="79" t="s">
        <v>4058</v>
      </c>
      <c r="P174" s="165" t="s">
        <v>3994</v>
      </c>
      <c r="Q174" s="166"/>
      <c r="R174" s="166"/>
      <c r="S174" s="166"/>
      <c r="T174" s="166"/>
      <c r="U174" s="166"/>
      <c r="V174" s="166"/>
      <c r="W174" s="166"/>
      <c r="X174" s="166"/>
      <c r="Y174" s="166"/>
      <c r="Z174" s="166"/>
      <c r="AA174" s="166"/>
      <c r="AB174" s="166"/>
      <c r="AC174" s="166"/>
      <c r="AD174" s="167"/>
      <c r="AE174" s="161" t="str">
        <f t="shared" ref="AE174:AE179" ca="1" si="123">IFERROR(INDIRECT(P174&amp;"!D8"),"")</f>
        <v>sny_202310_base_text_mml_mmllb_body</v>
      </c>
      <c r="AF174" s="162"/>
      <c r="AG174" s="162"/>
      <c r="AH174" s="162"/>
      <c r="AI174" s="162"/>
      <c r="AJ174" s="162"/>
      <c r="AK174" s="162"/>
      <c r="AL174" s="163"/>
      <c r="AM174" s="161" t="str">
        <f t="shared" ref="AM174:AM179" ca="1" si="124">IFERROR(INDIRECT(P174&amp;"!D9"),"")</f>
        <v>ベース_MML_検歴情報モジュール_本文テーブルから組入れ条件の第一条件で絞り込んだ結果を格納するテーブル</v>
      </c>
      <c r="AN174" s="162"/>
      <c r="AO174" s="162"/>
      <c r="AP174" s="162"/>
      <c r="AQ174" s="162"/>
      <c r="AR174" s="162"/>
      <c r="AS174" s="162"/>
      <c r="AT174" s="162"/>
      <c r="AU174" s="162"/>
      <c r="AV174" s="162"/>
      <c r="AW174" s="162"/>
      <c r="AX174" s="162"/>
      <c r="AY174" s="162"/>
      <c r="AZ174" s="162"/>
      <c r="BA174" s="162"/>
      <c r="BB174" s="162"/>
      <c r="BC174" s="162"/>
      <c r="BD174" s="162"/>
      <c r="BE174" s="162"/>
      <c r="BF174" s="162"/>
      <c r="BG174" s="162"/>
      <c r="BH174" s="162"/>
      <c r="BI174" s="162"/>
      <c r="BJ174" s="164"/>
      <c r="BK174" s="32" t="str">
        <f t="shared" ref="BK174:BK179" si="125">IF(P174&lt;&gt;"",O174&amp;"_"&amp;P174&amp;".sql","")</f>
        <v>ENT_31_A6-18_ベース_MML_検歴情報モジュール_本文.sql</v>
      </c>
    </row>
    <row r="175" spans="1:63" ht="37.5" hidden="1" customHeight="1" outlineLevel="1">
      <c r="A175" s="34" t="str">
        <f t="shared" si="122"/>
        <v>ベース_MML_検歴情報モジュール_報告コメント</v>
      </c>
      <c r="B175" s="148" t="str">
        <f t="shared" si="118"/>
        <v>31</v>
      </c>
      <c r="C175" s="149"/>
      <c r="D175" s="149"/>
      <c r="E175" s="149"/>
      <c r="F175" s="150"/>
      <c r="G175" s="151" t="s">
        <v>308</v>
      </c>
      <c r="H175" s="152"/>
      <c r="I175" s="152"/>
      <c r="J175" s="152"/>
      <c r="K175" s="152"/>
      <c r="L175" s="152"/>
      <c r="M175" s="152"/>
      <c r="N175" s="153"/>
      <c r="O175" s="79" t="s">
        <v>4059</v>
      </c>
      <c r="P175" s="165" t="s">
        <v>3995</v>
      </c>
      <c r="Q175" s="166"/>
      <c r="R175" s="166"/>
      <c r="S175" s="166"/>
      <c r="T175" s="166"/>
      <c r="U175" s="166"/>
      <c r="V175" s="166"/>
      <c r="W175" s="166"/>
      <c r="X175" s="166"/>
      <c r="Y175" s="166"/>
      <c r="Z175" s="166"/>
      <c r="AA175" s="166"/>
      <c r="AB175" s="166"/>
      <c r="AC175" s="166"/>
      <c r="AD175" s="167"/>
      <c r="AE175" s="161" t="str">
        <f t="shared" ca="1" si="123"/>
        <v>sny_202310_base_text_mml_mmllb_memo</v>
      </c>
      <c r="AF175" s="162"/>
      <c r="AG175" s="162"/>
      <c r="AH175" s="162"/>
      <c r="AI175" s="162"/>
      <c r="AJ175" s="162"/>
      <c r="AK175" s="162"/>
      <c r="AL175" s="163"/>
      <c r="AM175" s="161" t="str">
        <f t="shared" ca="1" si="124"/>
        <v>ベース_MML_検歴情報モジュール_報告コメントテーブルから組入れ条件の第一条件で絞り込んだ結果を格納するテーブル</v>
      </c>
      <c r="AN175" s="162"/>
      <c r="AO175" s="162"/>
      <c r="AP175" s="162"/>
      <c r="AQ175" s="162"/>
      <c r="AR175" s="162"/>
      <c r="AS175" s="162"/>
      <c r="AT175" s="162"/>
      <c r="AU175" s="162"/>
      <c r="AV175" s="162"/>
      <c r="AW175" s="162"/>
      <c r="AX175" s="162"/>
      <c r="AY175" s="162"/>
      <c r="AZ175" s="162"/>
      <c r="BA175" s="162"/>
      <c r="BB175" s="162"/>
      <c r="BC175" s="162"/>
      <c r="BD175" s="162"/>
      <c r="BE175" s="162"/>
      <c r="BF175" s="162"/>
      <c r="BG175" s="162"/>
      <c r="BH175" s="162"/>
      <c r="BI175" s="162"/>
      <c r="BJ175" s="164"/>
      <c r="BK175" s="32" t="str">
        <f t="shared" si="125"/>
        <v>ENT_31_A6-19_ベース_MML_検歴情報モジュール_報告コメント.sql</v>
      </c>
    </row>
    <row r="176" spans="1:63" ht="37.5" hidden="1" customHeight="1" outlineLevel="1">
      <c r="A176" s="34" t="str">
        <f t="shared" si="122"/>
        <v>ベース_MML_検歴情報モジュール_検体検査結果情報</v>
      </c>
      <c r="B176" s="148" t="str">
        <f t="shared" si="118"/>
        <v>31</v>
      </c>
      <c r="C176" s="149"/>
      <c r="D176" s="149"/>
      <c r="E176" s="149"/>
      <c r="F176" s="150"/>
      <c r="G176" s="151" t="s">
        <v>308</v>
      </c>
      <c r="H176" s="152"/>
      <c r="I176" s="152"/>
      <c r="J176" s="152"/>
      <c r="K176" s="152"/>
      <c r="L176" s="152"/>
      <c r="M176" s="152"/>
      <c r="N176" s="153"/>
      <c r="O176" s="79" t="s">
        <v>4060</v>
      </c>
      <c r="P176" s="165" t="s">
        <v>3996</v>
      </c>
      <c r="Q176" s="166"/>
      <c r="R176" s="166"/>
      <c r="S176" s="166"/>
      <c r="T176" s="166"/>
      <c r="U176" s="166"/>
      <c r="V176" s="166"/>
      <c r="W176" s="166"/>
      <c r="X176" s="166"/>
      <c r="Y176" s="166"/>
      <c r="Z176" s="166"/>
      <c r="AA176" s="166"/>
      <c r="AB176" s="166"/>
      <c r="AC176" s="166"/>
      <c r="AD176" s="167"/>
      <c r="AE176" s="161" t="str">
        <f t="shared" ca="1" si="123"/>
        <v>sny_202310_base_text_mml_mmllb_labo_test</v>
      </c>
      <c r="AF176" s="162"/>
      <c r="AG176" s="162"/>
      <c r="AH176" s="162"/>
      <c r="AI176" s="162"/>
      <c r="AJ176" s="162"/>
      <c r="AK176" s="162"/>
      <c r="AL176" s="163"/>
      <c r="AM176" s="161" t="str">
        <f t="shared" ca="1" si="124"/>
        <v>ベース_MML_検歴情報モジュール_検体検査結果情報テーブルから組入れ条件の第一条件で絞り込んだ結果を格納するテーブル</v>
      </c>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4"/>
      <c r="BK176" s="32" t="str">
        <f t="shared" si="125"/>
        <v>ENT_31_A6-20_ベース_MML_検歴情報モジュール_検体検査結果情報.sql</v>
      </c>
    </row>
    <row r="177" spans="1:63" ht="37.5" hidden="1" customHeight="1" outlineLevel="1">
      <c r="A177" s="34" t="str">
        <f t="shared" si="122"/>
        <v>ベース_MML_検歴情報モジュール_検体コメント</v>
      </c>
      <c r="B177" s="148" t="str">
        <f t="shared" si="118"/>
        <v>31</v>
      </c>
      <c r="C177" s="149"/>
      <c r="D177" s="149"/>
      <c r="E177" s="149"/>
      <c r="F177" s="150"/>
      <c r="G177" s="151" t="s">
        <v>308</v>
      </c>
      <c r="H177" s="152"/>
      <c r="I177" s="152"/>
      <c r="J177" s="152"/>
      <c r="K177" s="152"/>
      <c r="L177" s="152"/>
      <c r="M177" s="152"/>
      <c r="N177" s="153"/>
      <c r="O177" s="79" t="s">
        <v>4061</v>
      </c>
      <c r="P177" s="165" t="s">
        <v>3997</v>
      </c>
      <c r="Q177" s="166"/>
      <c r="R177" s="166"/>
      <c r="S177" s="166"/>
      <c r="T177" s="166"/>
      <c r="U177" s="166"/>
      <c r="V177" s="166"/>
      <c r="W177" s="166"/>
      <c r="X177" s="166"/>
      <c r="Y177" s="166"/>
      <c r="Z177" s="166"/>
      <c r="AA177" s="166"/>
      <c r="AB177" s="166"/>
      <c r="AC177" s="166"/>
      <c r="AD177" s="167"/>
      <c r="AE177" s="161" t="str">
        <f t="shared" ca="1" si="123"/>
        <v>sny_202310_base_text_mml_mmllb_spc_memo</v>
      </c>
      <c r="AF177" s="162"/>
      <c r="AG177" s="162"/>
      <c r="AH177" s="162"/>
      <c r="AI177" s="162"/>
      <c r="AJ177" s="162"/>
      <c r="AK177" s="162"/>
      <c r="AL177" s="163"/>
      <c r="AM177" s="161" t="str">
        <f t="shared" ca="1" si="124"/>
        <v>ベース_MML_検歴情報モジュール_検体コメントテーブルから組入れ条件の第一条件で絞り込んだ結果を格納するテーブル</v>
      </c>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4"/>
      <c r="BK177" s="32" t="str">
        <f t="shared" si="125"/>
        <v>ENT_31_A6-21_ベース_MML_検歴情報モジュール_検体コメント.sql</v>
      </c>
    </row>
    <row r="178" spans="1:63" ht="37.5" hidden="1" customHeight="1" outlineLevel="1">
      <c r="A178" s="34" t="str">
        <f t="shared" si="122"/>
        <v>ベース_MML_検歴情報モジュール_検査項目</v>
      </c>
      <c r="B178" s="148" t="str">
        <f t="shared" si="118"/>
        <v>31</v>
      </c>
      <c r="C178" s="149"/>
      <c r="D178" s="149"/>
      <c r="E178" s="149"/>
      <c r="F178" s="150"/>
      <c r="G178" s="151" t="s">
        <v>308</v>
      </c>
      <c r="H178" s="152"/>
      <c r="I178" s="152"/>
      <c r="J178" s="152"/>
      <c r="K178" s="152"/>
      <c r="L178" s="152"/>
      <c r="M178" s="152"/>
      <c r="N178" s="153"/>
      <c r="O178" s="79" t="s">
        <v>4062</v>
      </c>
      <c r="P178" s="165" t="s">
        <v>3998</v>
      </c>
      <c r="Q178" s="166"/>
      <c r="R178" s="166"/>
      <c r="S178" s="166"/>
      <c r="T178" s="166"/>
      <c r="U178" s="166"/>
      <c r="V178" s="166"/>
      <c r="W178" s="166"/>
      <c r="X178" s="166"/>
      <c r="Y178" s="166"/>
      <c r="Z178" s="166"/>
      <c r="AA178" s="166"/>
      <c r="AB178" s="166"/>
      <c r="AC178" s="166"/>
      <c r="AD178" s="167"/>
      <c r="AE178" s="161" t="str">
        <f t="shared" ca="1" si="123"/>
        <v>sny_202310_base_text_mml_mmllb_item</v>
      </c>
      <c r="AF178" s="162"/>
      <c r="AG178" s="162"/>
      <c r="AH178" s="162"/>
      <c r="AI178" s="162"/>
      <c r="AJ178" s="162"/>
      <c r="AK178" s="162"/>
      <c r="AL178" s="163"/>
      <c r="AM178" s="161" t="str">
        <f t="shared" ca="1" si="124"/>
        <v>ベース_MML_検歴情報モジュール_検査項目テーブルから組入れ条件の第一条件で絞り込んだ結果を格納するテーブル</v>
      </c>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4"/>
      <c r="BK178" s="32" t="str">
        <f t="shared" si="125"/>
        <v>ENT_31_A6-22_ベース_MML_検歴情報モジュール_検査項目.sql</v>
      </c>
    </row>
    <row r="179" spans="1:63" ht="37.5" hidden="1" customHeight="1" outlineLevel="1">
      <c r="A179" s="34" t="str">
        <f t="shared" si="122"/>
        <v>ベース_MML_検歴情報モジュール_検査項目コメント</v>
      </c>
      <c r="B179" s="148" t="str">
        <f t="shared" ref="B179" si="126">TEXT(31,"00")</f>
        <v>31</v>
      </c>
      <c r="C179" s="149"/>
      <c r="D179" s="149"/>
      <c r="E179" s="149"/>
      <c r="F179" s="150"/>
      <c r="G179" s="151" t="s">
        <v>308</v>
      </c>
      <c r="H179" s="152"/>
      <c r="I179" s="152"/>
      <c r="J179" s="152"/>
      <c r="K179" s="152"/>
      <c r="L179" s="152"/>
      <c r="M179" s="152"/>
      <c r="N179" s="153"/>
      <c r="O179" s="79" t="s">
        <v>4063</v>
      </c>
      <c r="P179" s="165" t="s">
        <v>3999</v>
      </c>
      <c r="Q179" s="166"/>
      <c r="R179" s="166"/>
      <c r="S179" s="166"/>
      <c r="T179" s="166"/>
      <c r="U179" s="166"/>
      <c r="V179" s="166"/>
      <c r="W179" s="166"/>
      <c r="X179" s="166"/>
      <c r="Y179" s="166"/>
      <c r="Z179" s="166"/>
      <c r="AA179" s="166"/>
      <c r="AB179" s="166"/>
      <c r="AC179" s="166"/>
      <c r="AD179" s="167"/>
      <c r="AE179" s="161" t="str">
        <f t="shared" ca="1" si="123"/>
        <v>sny_202310_base_text_mml_mmllb_item_memo</v>
      </c>
      <c r="AF179" s="162"/>
      <c r="AG179" s="162"/>
      <c r="AH179" s="162"/>
      <c r="AI179" s="162"/>
      <c r="AJ179" s="162"/>
      <c r="AK179" s="162"/>
      <c r="AL179" s="163"/>
      <c r="AM179" s="161" t="str">
        <f t="shared" ca="1" si="124"/>
        <v>ベース_MML_検歴情報モジュール_検査項目コメントテーブルから組入れ条件の第一条件で絞り込んだ結果を格納するテーブル</v>
      </c>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4"/>
      <c r="BK179" s="32" t="str">
        <f t="shared" si="125"/>
        <v>ENT_31_A6-23_ベース_MML_検歴情報モジュール_検査項目コメント.sql</v>
      </c>
    </row>
    <row r="180" spans="1:63" ht="37.5" hidden="1" customHeight="1" outlineLevel="1">
      <c r="A180" s="34" t="str">
        <f t="shared" si="117"/>
        <v>ベース_MML_処方箋モジュール_本文</v>
      </c>
      <c r="B180" s="148" t="str">
        <f t="shared" si="118"/>
        <v>31</v>
      </c>
      <c r="C180" s="149"/>
      <c r="D180" s="149"/>
      <c r="E180" s="149"/>
      <c r="F180" s="150"/>
      <c r="G180" s="151" t="s">
        <v>308</v>
      </c>
      <c r="H180" s="152"/>
      <c r="I180" s="152"/>
      <c r="J180" s="152"/>
      <c r="K180" s="152"/>
      <c r="L180" s="152"/>
      <c r="M180" s="152"/>
      <c r="N180" s="153"/>
      <c r="O180" s="79" t="s">
        <v>4035</v>
      </c>
      <c r="P180" s="165" t="s">
        <v>3713</v>
      </c>
      <c r="Q180" s="166"/>
      <c r="R180" s="166"/>
      <c r="S180" s="166"/>
      <c r="T180" s="166"/>
      <c r="U180" s="166"/>
      <c r="V180" s="166"/>
      <c r="W180" s="166"/>
      <c r="X180" s="166"/>
      <c r="Y180" s="166"/>
      <c r="Z180" s="166"/>
      <c r="AA180" s="166"/>
      <c r="AB180" s="166"/>
      <c r="AC180" s="166"/>
      <c r="AD180" s="167"/>
      <c r="AE180" s="161" t="str">
        <f t="shared" ca="1" si="119"/>
        <v>sny_202310_base_text_mml_mmlps_body</v>
      </c>
      <c r="AF180" s="162"/>
      <c r="AG180" s="162"/>
      <c r="AH180" s="162"/>
      <c r="AI180" s="162"/>
      <c r="AJ180" s="162"/>
      <c r="AK180" s="162"/>
      <c r="AL180" s="163"/>
      <c r="AM180" s="161" t="str">
        <f t="shared" ca="1" si="120"/>
        <v>バックアップ_MML_処方箋モジュール_本文テーブルから対象患者で絞り込んだ結果を格納するテーブル</v>
      </c>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4"/>
      <c r="BK180" s="32" t="str">
        <f t="shared" si="121"/>
        <v>ENT_31_A6-24_ベース_MML_処方箋モジュール_本文.sql</v>
      </c>
    </row>
    <row r="181" spans="1:63" ht="37.5" hidden="1" customHeight="1" outlineLevel="1">
      <c r="A181" s="34" t="str">
        <f t="shared" si="117"/>
        <v>ベース_MML_処方箋モジュール_投薬</v>
      </c>
      <c r="B181" s="148" t="str">
        <f t="shared" si="118"/>
        <v>31</v>
      </c>
      <c r="C181" s="149"/>
      <c r="D181" s="149"/>
      <c r="E181" s="149"/>
      <c r="F181" s="150"/>
      <c r="G181" s="151" t="s">
        <v>308</v>
      </c>
      <c r="H181" s="152"/>
      <c r="I181" s="152"/>
      <c r="J181" s="152"/>
      <c r="K181" s="152"/>
      <c r="L181" s="152"/>
      <c r="M181" s="152"/>
      <c r="N181" s="153"/>
      <c r="O181" s="79" t="s">
        <v>4036</v>
      </c>
      <c r="P181" s="165" t="s">
        <v>3714</v>
      </c>
      <c r="Q181" s="166"/>
      <c r="R181" s="166"/>
      <c r="S181" s="166"/>
      <c r="T181" s="166"/>
      <c r="U181" s="166"/>
      <c r="V181" s="166"/>
      <c r="W181" s="166"/>
      <c r="X181" s="166"/>
      <c r="Y181" s="166"/>
      <c r="Z181" s="166"/>
      <c r="AA181" s="166"/>
      <c r="AB181" s="166"/>
      <c r="AC181" s="166"/>
      <c r="AD181" s="167"/>
      <c r="AE181" s="161" t="str">
        <f t="shared" ca="1" si="119"/>
        <v>sny_202310_base_text_mml_mmlps_medication</v>
      </c>
      <c r="AF181" s="162"/>
      <c r="AG181" s="162"/>
      <c r="AH181" s="162"/>
      <c r="AI181" s="162"/>
      <c r="AJ181" s="162"/>
      <c r="AK181" s="162"/>
      <c r="AL181" s="163"/>
      <c r="AM181" s="161" t="str">
        <f t="shared" ca="1" si="120"/>
        <v>バックアップ_MML_処方箋モジュール_投薬テーブルから対象患者で絞り込んだ結果を格納するテーブル</v>
      </c>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4"/>
      <c r="BK181" s="32" t="str">
        <f t="shared" si="121"/>
        <v>ENT_31_A6-25_ベース_MML_処方箋モジュール_投薬.sql</v>
      </c>
    </row>
    <row r="182" spans="1:63" ht="37.5" hidden="1" customHeight="1" outlineLevel="1">
      <c r="A182" s="34" t="str">
        <f t="shared" si="117"/>
        <v>ベース_MML_処方箋モジュール_薬剤</v>
      </c>
      <c r="B182" s="148" t="str">
        <f t="shared" si="118"/>
        <v>31</v>
      </c>
      <c r="C182" s="149"/>
      <c r="D182" s="149"/>
      <c r="E182" s="149"/>
      <c r="F182" s="150"/>
      <c r="G182" s="151" t="s">
        <v>308</v>
      </c>
      <c r="H182" s="152"/>
      <c r="I182" s="152"/>
      <c r="J182" s="152"/>
      <c r="K182" s="152"/>
      <c r="L182" s="152"/>
      <c r="M182" s="152"/>
      <c r="N182" s="153"/>
      <c r="O182" s="79" t="s">
        <v>4037</v>
      </c>
      <c r="P182" s="165" t="s">
        <v>3715</v>
      </c>
      <c r="Q182" s="166"/>
      <c r="R182" s="166"/>
      <c r="S182" s="166"/>
      <c r="T182" s="166"/>
      <c r="U182" s="166"/>
      <c r="V182" s="166"/>
      <c r="W182" s="166"/>
      <c r="X182" s="166"/>
      <c r="Y182" s="166"/>
      <c r="Z182" s="166"/>
      <c r="AA182" s="166"/>
      <c r="AB182" s="166"/>
      <c r="AC182" s="166"/>
      <c r="AD182" s="167"/>
      <c r="AE182" s="161" t="str">
        <f t="shared" ca="1" si="119"/>
        <v>sny_202310_base_text_mml_mmlps_medicine</v>
      </c>
      <c r="AF182" s="162"/>
      <c r="AG182" s="162"/>
      <c r="AH182" s="162"/>
      <c r="AI182" s="162"/>
      <c r="AJ182" s="162"/>
      <c r="AK182" s="162"/>
      <c r="AL182" s="163"/>
      <c r="AM182" s="161" t="str">
        <f t="shared" ca="1" si="120"/>
        <v>バックアップ_MML_処方箋モジュール_薬剤テーブルから対象患者で絞り込んだ結果を格納するテーブル</v>
      </c>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4"/>
      <c r="BK182" s="32" t="str">
        <f t="shared" si="121"/>
        <v>ENT_31_A6-26_ベース_MML_処方箋モジュール_薬剤.sql</v>
      </c>
    </row>
    <row r="183" spans="1:63" ht="37.5" hidden="1" customHeight="1" outlineLevel="1">
      <c r="A183" s="34" t="str">
        <f t="shared" si="117"/>
        <v>ベース_DPC調査データ_入院EF統合ファイル</v>
      </c>
      <c r="B183" s="148" t="str">
        <f t="shared" si="118"/>
        <v>31</v>
      </c>
      <c r="C183" s="149"/>
      <c r="D183" s="149"/>
      <c r="E183" s="149"/>
      <c r="F183" s="150"/>
      <c r="G183" s="151" t="s">
        <v>308</v>
      </c>
      <c r="H183" s="152"/>
      <c r="I183" s="152"/>
      <c r="J183" s="152"/>
      <c r="K183" s="152"/>
      <c r="L183" s="152"/>
      <c r="M183" s="152"/>
      <c r="N183" s="153"/>
      <c r="O183" s="79" t="s">
        <v>4038</v>
      </c>
      <c r="P183" s="165" t="s">
        <v>309</v>
      </c>
      <c r="Q183" s="166"/>
      <c r="R183" s="166"/>
      <c r="S183" s="166"/>
      <c r="T183" s="166"/>
      <c r="U183" s="166"/>
      <c r="V183" s="166"/>
      <c r="W183" s="166"/>
      <c r="X183" s="166"/>
      <c r="Y183" s="166"/>
      <c r="Z183" s="166"/>
      <c r="AA183" s="166"/>
      <c r="AB183" s="166"/>
      <c r="AC183" s="166"/>
      <c r="AD183" s="167"/>
      <c r="AE183" s="161" t="str">
        <f t="shared" ca="1" si="119"/>
        <v>sny_202310_base_merge_dpc_efn</v>
      </c>
      <c r="AF183" s="162"/>
      <c r="AG183" s="162"/>
      <c r="AH183" s="162"/>
      <c r="AI183" s="162"/>
      <c r="AJ183" s="162"/>
      <c r="AK183" s="162"/>
      <c r="AL183" s="163"/>
      <c r="AM183" s="161" t="str">
        <f t="shared" ca="1" si="120"/>
        <v>バックアップ_DPC調査データ_入院EF統合ファイルテーブルから対象患者で絞り込んだ結果を格納するテーブル</v>
      </c>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4"/>
      <c r="BK183" s="32" t="str">
        <f t="shared" si="121"/>
        <v>ENT_31_C1-02_ベース_DPC調査データ_入院EF統合ファイル.sql</v>
      </c>
    </row>
    <row r="184" spans="1:63" ht="37.5" hidden="1" customHeight="1" outlineLevel="1">
      <c r="A184" s="34" t="str">
        <f t="shared" si="117"/>
        <v>ベース_DPC調査データ_外来EF統合ファイル</v>
      </c>
      <c r="B184" s="148" t="str">
        <f t="shared" si="118"/>
        <v>31</v>
      </c>
      <c r="C184" s="149"/>
      <c r="D184" s="149"/>
      <c r="E184" s="149"/>
      <c r="F184" s="150"/>
      <c r="G184" s="151" t="s">
        <v>308</v>
      </c>
      <c r="H184" s="152"/>
      <c r="I184" s="152"/>
      <c r="J184" s="152"/>
      <c r="K184" s="152"/>
      <c r="L184" s="152"/>
      <c r="M184" s="152"/>
      <c r="N184" s="153"/>
      <c r="O184" s="79" t="s">
        <v>4039</v>
      </c>
      <c r="P184" s="165" t="s">
        <v>3716</v>
      </c>
      <c r="Q184" s="166"/>
      <c r="R184" s="166"/>
      <c r="S184" s="166"/>
      <c r="T184" s="166"/>
      <c r="U184" s="166"/>
      <c r="V184" s="166"/>
      <c r="W184" s="166"/>
      <c r="X184" s="166"/>
      <c r="Y184" s="166"/>
      <c r="Z184" s="166"/>
      <c r="AA184" s="166"/>
      <c r="AB184" s="166"/>
      <c r="AC184" s="166"/>
      <c r="AD184" s="167"/>
      <c r="AE184" s="161" t="str">
        <f t="shared" ca="1" si="119"/>
        <v>sny_202310_base_merge_dpc_efg</v>
      </c>
      <c r="AF184" s="162"/>
      <c r="AG184" s="162"/>
      <c r="AH184" s="162"/>
      <c r="AI184" s="162"/>
      <c r="AJ184" s="162"/>
      <c r="AK184" s="162"/>
      <c r="AL184" s="163"/>
      <c r="AM184" s="161" t="str">
        <f t="shared" ca="1" si="120"/>
        <v>バックアップ_DPC調査データ_外来EF統合ファイルテーブルから対象患者で絞り込んだ結果を格納するテーブル</v>
      </c>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4"/>
      <c r="BK184" s="32" t="str">
        <f t="shared" si="121"/>
        <v>ENT_31_C1-03_ベース_DPC調査データ_外来EF統合ファイル.sql</v>
      </c>
    </row>
    <row r="185" spans="1:63" ht="37.5" hidden="1" customHeight="1" outlineLevel="1">
      <c r="A185" s="34" t="str">
        <f t="shared" si="117"/>
        <v>ベース_DPC調査データ_様式1</v>
      </c>
      <c r="B185" s="148" t="str">
        <f t="shared" si="118"/>
        <v>31</v>
      </c>
      <c r="C185" s="149"/>
      <c r="D185" s="149"/>
      <c r="E185" s="149"/>
      <c r="F185" s="150"/>
      <c r="G185" s="151" t="s">
        <v>308</v>
      </c>
      <c r="H185" s="152"/>
      <c r="I185" s="152"/>
      <c r="J185" s="152"/>
      <c r="K185" s="152"/>
      <c r="L185" s="152"/>
      <c r="M185" s="152"/>
      <c r="N185" s="153"/>
      <c r="O185" s="79" t="s">
        <v>4040</v>
      </c>
      <c r="P185" s="165" t="s">
        <v>3717</v>
      </c>
      <c r="Q185" s="166"/>
      <c r="R185" s="166"/>
      <c r="S185" s="166"/>
      <c r="T185" s="166"/>
      <c r="U185" s="166"/>
      <c r="V185" s="166"/>
      <c r="W185" s="166"/>
      <c r="X185" s="166"/>
      <c r="Y185" s="166"/>
      <c r="Z185" s="166"/>
      <c r="AA185" s="166"/>
      <c r="AB185" s="166"/>
      <c r="AC185" s="166"/>
      <c r="AD185" s="167"/>
      <c r="AE185" s="161" t="str">
        <f t="shared" ca="1" si="119"/>
        <v>sny_202310_base_merge_dpc_ff1</v>
      </c>
      <c r="AF185" s="162"/>
      <c r="AG185" s="162"/>
      <c r="AH185" s="162"/>
      <c r="AI185" s="162"/>
      <c r="AJ185" s="162"/>
      <c r="AK185" s="162"/>
      <c r="AL185" s="163"/>
      <c r="AM185" s="161" t="str">
        <f t="shared" ca="1" si="120"/>
        <v>バックアップ_DPC調査データ_様式1テーブルから対象患者で絞り込んだ結果を格納するテーブル</v>
      </c>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4"/>
      <c r="BK185" s="32" t="str">
        <f t="shared" si="121"/>
        <v>ENT_31_C1-05_ベース_DPC調査データ_様式1.sql</v>
      </c>
    </row>
    <row r="186" spans="1:63" ht="37.5" hidden="1" customHeight="1" outlineLevel="1">
      <c r="A186" s="34" t="str">
        <f t="shared" si="117"/>
        <v>ベース_DPC調査データ_様式1_診断情報_併存症</v>
      </c>
      <c r="B186" s="148" t="str">
        <f t="shared" si="118"/>
        <v>31</v>
      </c>
      <c r="C186" s="149"/>
      <c r="D186" s="149"/>
      <c r="E186" s="149"/>
      <c r="F186" s="150"/>
      <c r="G186" s="151" t="s">
        <v>308</v>
      </c>
      <c r="H186" s="152"/>
      <c r="I186" s="152"/>
      <c r="J186" s="152"/>
      <c r="K186" s="152"/>
      <c r="L186" s="152"/>
      <c r="M186" s="152"/>
      <c r="N186" s="153"/>
      <c r="O186" s="79" t="s">
        <v>4041</v>
      </c>
      <c r="P186" s="165" t="s">
        <v>3718</v>
      </c>
      <c r="Q186" s="166"/>
      <c r="R186" s="166"/>
      <c r="S186" s="166"/>
      <c r="T186" s="166"/>
      <c r="U186" s="166"/>
      <c r="V186" s="166"/>
      <c r="W186" s="166"/>
      <c r="X186" s="166"/>
      <c r="Y186" s="166"/>
      <c r="Z186" s="166"/>
      <c r="AA186" s="166"/>
      <c r="AB186" s="166"/>
      <c r="AC186" s="166"/>
      <c r="AD186" s="167"/>
      <c r="AE186" s="161" t="str">
        <f t="shared" ca="1" si="119"/>
        <v>sny_202310_base_merge_dpc_ff1_a006040</v>
      </c>
      <c r="AF186" s="162"/>
      <c r="AG186" s="162"/>
      <c r="AH186" s="162"/>
      <c r="AI186" s="162"/>
      <c r="AJ186" s="162"/>
      <c r="AK186" s="162"/>
      <c r="AL186" s="163"/>
      <c r="AM186" s="161" t="str">
        <f t="shared" ca="1" si="120"/>
        <v>バックアップ_DPC調査データ_様式1_診断情報_併存症テーブルから対象患者で絞り込んだ結果を格納するテーブル</v>
      </c>
      <c r="AN186" s="162"/>
      <c r="AO186" s="162"/>
      <c r="AP186" s="162"/>
      <c r="AQ186" s="162"/>
      <c r="AR186" s="162"/>
      <c r="AS186" s="162"/>
      <c r="AT186" s="162"/>
      <c r="AU186" s="162"/>
      <c r="AV186" s="162"/>
      <c r="AW186" s="162"/>
      <c r="AX186" s="162"/>
      <c r="AY186" s="162"/>
      <c r="AZ186" s="162"/>
      <c r="BA186" s="162"/>
      <c r="BB186" s="162"/>
      <c r="BC186" s="162"/>
      <c r="BD186" s="162"/>
      <c r="BE186" s="162"/>
      <c r="BF186" s="162"/>
      <c r="BG186" s="162"/>
      <c r="BH186" s="162"/>
      <c r="BI186" s="162"/>
      <c r="BJ186" s="164"/>
      <c r="BK186" s="32" t="str">
        <f t="shared" si="121"/>
        <v>ENT_31_C1-07_ベース_DPC調査データ_様式1_診断情報_併存症.sql</v>
      </c>
    </row>
    <row r="187" spans="1:63" ht="37.5" hidden="1" customHeight="1" outlineLevel="1">
      <c r="A187" s="34" t="str">
        <f t="shared" si="117"/>
        <v>ベース_DPC調査データ_様式1_診断情報_続発症</v>
      </c>
      <c r="B187" s="148" t="str">
        <f t="shared" si="118"/>
        <v>31</v>
      </c>
      <c r="C187" s="149"/>
      <c r="D187" s="149"/>
      <c r="E187" s="149"/>
      <c r="F187" s="150"/>
      <c r="G187" s="151" t="s">
        <v>308</v>
      </c>
      <c r="H187" s="152"/>
      <c r="I187" s="152"/>
      <c r="J187" s="152"/>
      <c r="K187" s="152"/>
      <c r="L187" s="152"/>
      <c r="M187" s="152"/>
      <c r="N187" s="153"/>
      <c r="O187" s="79" t="s">
        <v>4042</v>
      </c>
      <c r="P187" s="165" t="s">
        <v>3719</v>
      </c>
      <c r="Q187" s="166"/>
      <c r="R187" s="166"/>
      <c r="S187" s="166"/>
      <c r="T187" s="166"/>
      <c r="U187" s="166"/>
      <c r="V187" s="166"/>
      <c r="W187" s="166"/>
      <c r="X187" s="166"/>
      <c r="Y187" s="166"/>
      <c r="Z187" s="166"/>
      <c r="AA187" s="166"/>
      <c r="AB187" s="166"/>
      <c r="AC187" s="166"/>
      <c r="AD187" s="167"/>
      <c r="AE187" s="161" t="str">
        <f t="shared" ca="1" si="119"/>
        <v>sny_202310_base_merge_dpc_ff1_a006050</v>
      </c>
      <c r="AF187" s="162"/>
      <c r="AG187" s="162"/>
      <c r="AH187" s="162"/>
      <c r="AI187" s="162"/>
      <c r="AJ187" s="162"/>
      <c r="AK187" s="162"/>
      <c r="AL187" s="163"/>
      <c r="AM187" s="161" t="str">
        <f t="shared" ca="1" si="120"/>
        <v>バックアップ_DPC調査データ_様式1_診断情報_続発症テーブルから対象患者で絞り込んだ結果を格納するテーブル</v>
      </c>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4"/>
      <c r="BK187" s="32" t="str">
        <f t="shared" si="121"/>
        <v>ENT_31_C1-08_ベース_DPC調査データ_様式1_診断情報_続発症.sql</v>
      </c>
    </row>
    <row r="188" spans="1:63" ht="37.5" hidden="1" customHeight="1" outlineLevel="1">
      <c r="A188" s="34" t="str">
        <f t="shared" si="117"/>
        <v>ベース_診断履歴情報モジュール_診断履歴情報レコード</v>
      </c>
      <c r="B188" s="148" t="str">
        <f t="shared" si="118"/>
        <v>31</v>
      </c>
      <c r="C188" s="149"/>
      <c r="D188" s="149"/>
      <c r="E188" s="149"/>
      <c r="F188" s="150"/>
      <c r="G188" s="151" t="s">
        <v>308</v>
      </c>
      <c r="H188" s="152"/>
      <c r="I188" s="152"/>
      <c r="J188" s="152"/>
      <c r="K188" s="152"/>
      <c r="L188" s="152"/>
      <c r="M188" s="152"/>
      <c r="N188" s="153"/>
      <c r="O188" s="79" t="s">
        <v>4043</v>
      </c>
      <c r="P188" s="165" t="s">
        <v>3720</v>
      </c>
      <c r="Q188" s="166"/>
      <c r="R188" s="166"/>
      <c r="S188" s="166"/>
      <c r="T188" s="166"/>
      <c r="U188" s="166"/>
      <c r="V188" s="166"/>
      <c r="W188" s="166"/>
      <c r="X188" s="166"/>
      <c r="Y188" s="166"/>
      <c r="Z188" s="166"/>
      <c r="AA188" s="166"/>
      <c r="AB188" s="166"/>
      <c r="AC188" s="166"/>
      <c r="AD188" s="167"/>
      <c r="AE188" s="161" t="str">
        <f t="shared" ca="1" si="119"/>
        <v>sny_202310_base_merge_mml_rd_register</v>
      </c>
      <c r="AF188" s="162"/>
      <c r="AG188" s="162"/>
      <c r="AH188" s="162"/>
      <c r="AI188" s="162"/>
      <c r="AJ188" s="162"/>
      <c r="AK188" s="162"/>
      <c r="AL188" s="163"/>
      <c r="AM188" s="161" t="str">
        <f t="shared" ca="1" si="120"/>
        <v>バックアップ_診断履歴情報モジュール_診断履歴情報レコードテーブルから対象患者で絞り込んだ結果を格納するテーブル</v>
      </c>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4"/>
      <c r="BK188" s="32" t="str">
        <f t="shared" si="121"/>
        <v>ENT_31_C4-03_ベース_診断履歴情報モジュール_診断履歴情報レコード.sql</v>
      </c>
    </row>
    <row r="189" spans="1:63" ht="37.5" hidden="1" customHeight="1" outlineLevel="1">
      <c r="A189" s="34" t="str">
        <f t="shared" si="117"/>
        <v>ベース_診断履歴情報モジュール_診断病名レコード</v>
      </c>
      <c r="B189" s="148" t="str">
        <f t="shared" si="118"/>
        <v>31</v>
      </c>
      <c r="C189" s="149"/>
      <c r="D189" s="149"/>
      <c r="E189" s="149"/>
      <c r="F189" s="150"/>
      <c r="G189" s="151" t="s">
        <v>308</v>
      </c>
      <c r="H189" s="152"/>
      <c r="I189" s="152"/>
      <c r="J189" s="152"/>
      <c r="K189" s="152"/>
      <c r="L189" s="152"/>
      <c r="M189" s="152"/>
      <c r="N189" s="153"/>
      <c r="O189" s="79" t="s">
        <v>4044</v>
      </c>
      <c r="P189" s="165" t="s">
        <v>3721</v>
      </c>
      <c r="Q189" s="166"/>
      <c r="R189" s="166"/>
      <c r="S189" s="166"/>
      <c r="T189" s="166"/>
      <c r="U189" s="166"/>
      <c r="V189" s="166"/>
      <c r="W189" s="166"/>
      <c r="X189" s="166"/>
      <c r="Y189" s="166"/>
      <c r="Z189" s="166"/>
      <c r="AA189" s="166"/>
      <c r="AB189" s="166"/>
      <c r="AC189" s="166"/>
      <c r="AD189" s="167"/>
      <c r="AE189" s="161" t="str">
        <f t="shared" ca="1" si="119"/>
        <v>sny_202310_base_merge_mml_rd_byomei</v>
      </c>
      <c r="AF189" s="162"/>
      <c r="AG189" s="162"/>
      <c r="AH189" s="162"/>
      <c r="AI189" s="162"/>
      <c r="AJ189" s="162"/>
      <c r="AK189" s="162"/>
      <c r="AL189" s="163"/>
      <c r="AM189" s="161" t="str">
        <f t="shared" ca="1" si="120"/>
        <v>バックアップ_診断履歴情報モジュール_診断病名レコードテーブルから対象患者で絞り込んだ結果を格納するテーブル</v>
      </c>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4"/>
      <c r="BK189" s="32" t="str">
        <f t="shared" si="121"/>
        <v>ENT_31_C4-04_ベース_診断履歴情報モジュール_診断病名レコード.sql</v>
      </c>
    </row>
    <row r="190" spans="1:63" ht="37.5" hidden="1" customHeight="1" outlineLevel="1">
      <c r="A190" s="34" t="str">
        <f t="shared" si="117"/>
        <v>ベース_経過記録情報モジュール_経過記録情報レコード</v>
      </c>
      <c r="B190" s="148" t="str">
        <f t="shared" si="118"/>
        <v>31</v>
      </c>
      <c r="C190" s="149"/>
      <c r="D190" s="149"/>
      <c r="E190" s="149"/>
      <c r="F190" s="150"/>
      <c r="G190" s="151" t="s">
        <v>308</v>
      </c>
      <c r="H190" s="152"/>
      <c r="I190" s="152"/>
      <c r="J190" s="152"/>
      <c r="K190" s="152"/>
      <c r="L190" s="152"/>
      <c r="M190" s="152"/>
      <c r="N190" s="153"/>
      <c r="O190" s="79" t="s">
        <v>4045</v>
      </c>
      <c r="P190" s="165" t="s">
        <v>3722</v>
      </c>
      <c r="Q190" s="166"/>
      <c r="R190" s="166"/>
      <c r="S190" s="166"/>
      <c r="T190" s="166"/>
      <c r="U190" s="166"/>
      <c r="V190" s="166"/>
      <c r="W190" s="166"/>
      <c r="X190" s="166"/>
      <c r="Y190" s="166"/>
      <c r="Z190" s="166"/>
      <c r="AA190" s="166"/>
      <c r="AB190" s="166"/>
      <c r="AC190" s="166"/>
      <c r="AD190" s="167"/>
      <c r="AE190" s="161" t="str">
        <f t="shared" ca="1" si="119"/>
        <v>sny_202310_base_merge_mml_pc_progress_course</v>
      </c>
      <c r="AF190" s="162"/>
      <c r="AG190" s="162"/>
      <c r="AH190" s="162"/>
      <c r="AI190" s="162"/>
      <c r="AJ190" s="162"/>
      <c r="AK190" s="162"/>
      <c r="AL190" s="163"/>
      <c r="AM190" s="161" t="str">
        <f t="shared" ca="1" si="120"/>
        <v>バックアップ_経過記録情報モジュール_経過記録情報レコードテーブルから対象患者で絞り込んだ結果を格納するテーブル</v>
      </c>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4"/>
      <c r="BK190" s="32" t="str">
        <f t="shared" si="121"/>
        <v>ENT_31_C4-06_ベース_経過記録情報モジュール_経過記録情報レコード.sql</v>
      </c>
    </row>
    <row r="191" spans="1:63" ht="37.5" hidden="1" customHeight="1" outlineLevel="1">
      <c r="A191" s="34" t="str">
        <f t="shared" si="117"/>
        <v>ベース_経過記録情報モジュール_プロブレムレコード</v>
      </c>
      <c r="B191" s="148" t="str">
        <f t="shared" si="118"/>
        <v>31</v>
      </c>
      <c r="C191" s="149"/>
      <c r="D191" s="149"/>
      <c r="E191" s="149"/>
      <c r="F191" s="150"/>
      <c r="G191" s="151" t="s">
        <v>308</v>
      </c>
      <c r="H191" s="152"/>
      <c r="I191" s="152"/>
      <c r="J191" s="152"/>
      <c r="K191" s="152"/>
      <c r="L191" s="152"/>
      <c r="M191" s="152"/>
      <c r="N191" s="153"/>
      <c r="O191" s="79" t="s">
        <v>4046</v>
      </c>
      <c r="P191" s="165" t="s">
        <v>3723</v>
      </c>
      <c r="Q191" s="166"/>
      <c r="R191" s="166"/>
      <c r="S191" s="166"/>
      <c r="T191" s="166"/>
      <c r="U191" s="166"/>
      <c r="V191" s="166"/>
      <c r="W191" s="166"/>
      <c r="X191" s="166"/>
      <c r="Y191" s="166"/>
      <c r="Z191" s="166"/>
      <c r="AA191" s="166"/>
      <c r="AB191" s="166"/>
      <c r="AC191" s="166"/>
      <c r="AD191" s="167"/>
      <c r="AE191" s="161" t="str">
        <f t="shared" ca="1" si="119"/>
        <v>sny_202310_base_merge_mml_pc_problem</v>
      </c>
      <c r="AF191" s="162"/>
      <c r="AG191" s="162"/>
      <c r="AH191" s="162"/>
      <c r="AI191" s="162"/>
      <c r="AJ191" s="162"/>
      <c r="AK191" s="162"/>
      <c r="AL191" s="163"/>
      <c r="AM191" s="161" t="str">
        <f t="shared" ca="1" si="120"/>
        <v>バックアップ_経過記録情報モジュール_プロブレムレコードテーブルから対象患者で絞り込んだ結果を格納するテーブル</v>
      </c>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4"/>
      <c r="BK191" s="32" t="str">
        <f t="shared" si="121"/>
        <v>ENT_31_C4-07_ベース_経過記録情報モジュール_プロブレムレコード.sql</v>
      </c>
    </row>
    <row r="192" spans="1:63" ht="37.5" hidden="1" customHeight="1" outlineLevel="1">
      <c r="A192" s="34" t="str">
        <f t="shared" si="117"/>
        <v>ベース_経過記録情報モジュール_身体所見レコード</v>
      </c>
      <c r="B192" s="148" t="str">
        <f t="shared" si="118"/>
        <v>31</v>
      </c>
      <c r="C192" s="149"/>
      <c r="D192" s="149"/>
      <c r="E192" s="149"/>
      <c r="F192" s="150"/>
      <c r="G192" s="151" t="s">
        <v>308</v>
      </c>
      <c r="H192" s="152"/>
      <c r="I192" s="152"/>
      <c r="J192" s="152"/>
      <c r="K192" s="152"/>
      <c r="L192" s="152"/>
      <c r="M192" s="152"/>
      <c r="N192" s="153"/>
      <c r="O192" s="79" t="s">
        <v>4047</v>
      </c>
      <c r="P192" s="165" t="s">
        <v>3724</v>
      </c>
      <c r="Q192" s="166"/>
      <c r="R192" s="166"/>
      <c r="S192" s="166"/>
      <c r="T192" s="166"/>
      <c r="U192" s="166"/>
      <c r="V192" s="166"/>
      <c r="W192" s="166"/>
      <c r="X192" s="166"/>
      <c r="Y192" s="166"/>
      <c r="Z192" s="166"/>
      <c r="AA192" s="166"/>
      <c r="AB192" s="166"/>
      <c r="AC192" s="166"/>
      <c r="AD192" s="167"/>
      <c r="AE192" s="161" t="str">
        <f t="shared" ca="1" si="119"/>
        <v>sny_202310_base_merge_mml_pc_physical_exam</v>
      </c>
      <c r="AF192" s="162"/>
      <c r="AG192" s="162"/>
      <c r="AH192" s="162"/>
      <c r="AI192" s="162"/>
      <c r="AJ192" s="162"/>
      <c r="AK192" s="162"/>
      <c r="AL192" s="163"/>
      <c r="AM192" s="161" t="str">
        <f t="shared" ca="1" si="120"/>
        <v>バックアップ_経過記録情報モジュール_身体所見レコードテーブルから対象患者で絞り込んだ結果を格納するテーブル</v>
      </c>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4"/>
      <c r="BK192" s="32" t="str">
        <f t="shared" si="121"/>
        <v>ENT_31_C4-08_ベース_経過記録情報モジュール_身体所見レコード.sql</v>
      </c>
    </row>
    <row r="193" spans="1:63" ht="37.5" hidden="1" customHeight="1" outlineLevel="1">
      <c r="A193" s="34" t="str">
        <f t="shared" si="117"/>
        <v>ベース_経過記録情報モジュール_アセスメントレコード</v>
      </c>
      <c r="B193" s="148" t="str">
        <f t="shared" si="118"/>
        <v>31</v>
      </c>
      <c r="C193" s="149"/>
      <c r="D193" s="149"/>
      <c r="E193" s="149"/>
      <c r="F193" s="150"/>
      <c r="G193" s="151" t="s">
        <v>308</v>
      </c>
      <c r="H193" s="152"/>
      <c r="I193" s="152"/>
      <c r="J193" s="152"/>
      <c r="K193" s="152"/>
      <c r="L193" s="152"/>
      <c r="M193" s="152"/>
      <c r="N193" s="153"/>
      <c r="O193" s="79" t="s">
        <v>4048</v>
      </c>
      <c r="P193" s="165" t="s">
        <v>3725</v>
      </c>
      <c r="Q193" s="166"/>
      <c r="R193" s="166"/>
      <c r="S193" s="166"/>
      <c r="T193" s="166"/>
      <c r="U193" s="166"/>
      <c r="V193" s="166"/>
      <c r="W193" s="166"/>
      <c r="X193" s="166"/>
      <c r="Y193" s="166"/>
      <c r="Z193" s="166"/>
      <c r="AA193" s="166"/>
      <c r="AB193" s="166"/>
      <c r="AC193" s="166"/>
      <c r="AD193" s="167"/>
      <c r="AE193" s="161" t="str">
        <f t="shared" ca="1" si="119"/>
        <v>sny_202310_base_merge_mml_pc_assessment</v>
      </c>
      <c r="AF193" s="162"/>
      <c r="AG193" s="162"/>
      <c r="AH193" s="162"/>
      <c r="AI193" s="162"/>
      <c r="AJ193" s="162"/>
      <c r="AK193" s="162"/>
      <c r="AL193" s="163"/>
      <c r="AM193" s="161" t="str">
        <f t="shared" ca="1" si="120"/>
        <v>バックアップ_経過記録情報モジュール_アセスメントレコードテーブルから対象患者で絞り込んだ結果を格納するテーブル</v>
      </c>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4"/>
      <c r="BK193" s="32" t="str">
        <f t="shared" si="121"/>
        <v>ENT_31_C4-15_ベース_経過記録情報モジュール_アセスメントレコード.sql</v>
      </c>
    </row>
    <row r="194" spans="1:63" ht="37.5" hidden="1" customHeight="1" outlineLevel="1">
      <c r="A194" s="34" t="str">
        <f t="shared" si="117"/>
        <v>ベース_経過記録情報モジュール_外部参照レコード</v>
      </c>
      <c r="B194" s="148" t="str">
        <f t="shared" si="118"/>
        <v>31</v>
      </c>
      <c r="C194" s="149"/>
      <c r="D194" s="149"/>
      <c r="E194" s="149"/>
      <c r="F194" s="150"/>
      <c r="G194" s="151" t="s">
        <v>308</v>
      </c>
      <c r="H194" s="152"/>
      <c r="I194" s="152"/>
      <c r="J194" s="152"/>
      <c r="K194" s="152"/>
      <c r="L194" s="152"/>
      <c r="M194" s="152"/>
      <c r="N194" s="153"/>
      <c r="O194" s="79" t="s">
        <v>4049</v>
      </c>
      <c r="P194" s="165" t="s">
        <v>3726</v>
      </c>
      <c r="Q194" s="166"/>
      <c r="R194" s="166"/>
      <c r="S194" s="166"/>
      <c r="T194" s="166"/>
      <c r="U194" s="166"/>
      <c r="V194" s="166"/>
      <c r="W194" s="166"/>
      <c r="X194" s="166"/>
      <c r="Y194" s="166"/>
      <c r="Z194" s="166"/>
      <c r="AA194" s="166"/>
      <c r="AB194" s="166"/>
      <c r="AC194" s="166"/>
      <c r="AD194" s="167"/>
      <c r="AE194" s="161" t="str">
        <f t="shared" ca="1" si="119"/>
        <v>sny_202310_base_merge_mml_pc_external_reference</v>
      </c>
      <c r="AF194" s="162"/>
      <c r="AG194" s="162"/>
      <c r="AH194" s="162"/>
      <c r="AI194" s="162"/>
      <c r="AJ194" s="162"/>
      <c r="AK194" s="162"/>
      <c r="AL194" s="163"/>
      <c r="AM194" s="161" t="str">
        <f t="shared" ca="1" si="120"/>
        <v>バックアップ_経過記録情報モジュール_外部参照レコードテーブルから対象患者で絞り込んだ結果を格納するテーブル</v>
      </c>
      <c r="AN194" s="162"/>
      <c r="AO194" s="162"/>
      <c r="AP194" s="162"/>
      <c r="AQ194" s="162"/>
      <c r="AR194" s="162"/>
      <c r="AS194" s="162"/>
      <c r="AT194" s="162"/>
      <c r="AU194" s="162"/>
      <c r="AV194" s="162"/>
      <c r="AW194" s="162"/>
      <c r="AX194" s="162"/>
      <c r="AY194" s="162"/>
      <c r="AZ194" s="162"/>
      <c r="BA194" s="162"/>
      <c r="BB194" s="162"/>
      <c r="BC194" s="162"/>
      <c r="BD194" s="162"/>
      <c r="BE194" s="162"/>
      <c r="BF194" s="162"/>
      <c r="BG194" s="162"/>
      <c r="BH194" s="162"/>
      <c r="BI194" s="162"/>
      <c r="BJ194" s="164"/>
      <c r="BK194" s="32" t="str">
        <f t="shared" si="121"/>
        <v>ENT_31_C4-22_ベース_経過記録情報モジュール_外部参照レコード.sql</v>
      </c>
    </row>
    <row r="195" spans="1:63" ht="37.5" hidden="1" customHeight="1" outlineLevel="1">
      <c r="A195" s="34" t="str">
        <f t="shared" si="117"/>
        <v>ベース_臨床サマリーモジュール_臨床サマリー情報レコード</v>
      </c>
      <c r="B195" s="148" t="str">
        <f t="shared" si="118"/>
        <v>31</v>
      </c>
      <c r="C195" s="149"/>
      <c r="D195" s="149"/>
      <c r="E195" s="149"/>
      <c r="F195" s="150"/>
      <c r="G195" s="151" t="s">
        <v>308</v>
      </c>
      <c r="H195" s="152"/>
      <c r="I195" s="152"/>
      <c r="J195" s="152"/>
      <c r="K195" s="152"/>
      <c r="L195" s="152"/>
      <c r="M195" s="152"/>
      <c r="N195" s="153"/>
      <c r="O195" s="79" t="s">
        <v>4050</v>
      </c>
      <c r="P195" s="165" t="s">
        <v>3727</v>
      </c>
      <c r="Q195" s="166"/>
      <c r="R195" s="166"/>
      <c r="S195" s="166"/>
      <c r="T195" s="166"/>
      <c r="U195" s="166"/>
      <c r="V195" s="166"/>
      <c r="W195" s="166"/>
      <c r="X195" s="166"/>
      <c r="Y195" s="166"/>
      <c r="Z195" s="166"/>
      <c r="AA195" s="166"/>
      <c r="AB195" s="166"/>
      <c r="AC195" s="166"/>
      <c r="AD195" s="167"/>
      <c r="AE195" s="161" t="str">
        <f t="shared" ca="1" si="119"/>
        <v>sny_202310_base_merge_mml_sm_summary</v>
      </c>
      <c r="AF195" s="162"/>
      <c r="AG195" s="162"/>
      <c r="AH195" s="162"/>
      <c r="AI195" s="162"/>
      <c r="AJ195" s="162"/>
      <c r="AK195" s="162"/>
      <c r="AL195" s="163"/>
      <c r="AM195" s="161" t="str">
        <f t="shared" ca="1" si="120"/>
        <v>バックアップ_臨床サマリーモジュール_臨床サマリー情報レコードテーブルから対象患者で絞り込んだ結果を格納するテーブル</v>
      </c>
      <c r="AN195" s="162"/>
      <c r="AO195" s="162"/>
      <c r="AP195" s="162"/>
      <c r="AQ195" s="162"/>
      <c r="AR195" s="162"/>
      <c r="AS195" s="162"/>
      <c r="AT195" s="162"/>
      <c r="AU195" s="162"/>
      <c r="AV195" s="162"/>
      <c r="AW195" s="162"/>
      <c r="AX195" s="162"/>
      <c r="AY195" s="162"/>
      <c r="AZ195" s="162"/>
      <c r="BA195" s="162"/>
      <c r="BB195" s="162"/>
      <c r="BC195" s="162"/>
      <c r="BD195" s="162"/>
      <c r="BE195" s="162"/>
      <c r="BF195" s="162"/>
      <c r="BG195" s="162"/>
      <c r="BH195" s="162"/>
      <c r="BI195" s="162"/>
      <c r="BJ195" s="164"/>
      <c r="BK195" s="32" t="str">
        <f t="shared" si="121"/>
        <v>ENT_31_C4-23_ベース_臨床サマリーモジュール_臨床サマリー情報レコード.sql</v>
      </c>
    </row>
    <row r="196" spans="1:63" ht="37.5" hidden="1" customHeight="1" outlineLevel="1">
      <c r="A196" s="34" t="str">
        <f t="shared" si="117"/>
        <v>ベース_臨床サマリーモジュール_外来受診レコード</v>
      </c>
      <c r="B196" s="148" t="str">
        <f t="shared" si="118"/>
        <v>31</v>
      </c>
      <c r="C196" s="149"/>
      <c r="D196" s="149"/>
      <c r="E196" s="149"/>
      <c r="F196" s="150"/>
      <c r="G196" s="151" t="s">
        <v>308</v>
      </c>
      <c r="H196" s="152"/>
      <c r="I196" s="152"/>
      <c r="J196" s="152"/>
      <c r="K196" s="152"/>
      <c r="L196" s="152"/>
      <c r="M196" s="152"/>
      <c r="N196" s="153"/>
      <c r="O196" s="79" t="s">
        <v>4051</v>
      </c>
      <c r="P196" s="165" t="s">
        <v>3728</v>
      </c>
      <c r="Q196" s="166"/>
      <c r="R196" s="166"/>
      <c r="S196" s="166"/>
      <c r="T196" s="166"/>
      <c r="U196" s="166"/>
      <c r="V196" s="166"/>
      <c r="W196" s="166"/>
      <c r="X196" s="166"/>
      <c r="Y196" s="166"/>
      <c r="Z196" s="166"/>
      <c r="AA196" s="166"/>
      <c r="AB196" s="166"/>
      <c r="AC196" s="166"/>
      <c r="AD196" s="167"/>
      <c r="AE196" s="161" t="str">
        <f t="shared" ca="1" si="119"/>
        <v>sny_202310_base_merge_mml_sm_out_patient</v>
      </c>
      <c r="AF196" s="162"/>
      <c r="AG196" s="162"/>
      <c r="AH196" s="162"/>
      <c r="AI196" s="162"/>
      <c r="AJ196" s="162"/>
      <c r="AK196" s="162"/>
      <c r="AL196" s="163"/>
      <c r="AM196" s="161" t="str">
        <f t="shared" ca="1" si="120"/>
        <v>バックアップ_臨床サマリーモジュール_外来受診レコードテーブルから対象患者で絞り込んだ結果を格納するテーブル</v>
      </c>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4"/>
      <c r="BK196" s="32" t="str">
        <f t="shared" si="121"/>
        <v>ENT_31_C4-24_ベース_臨床サマリーモジュール_外来受診レコード.sql</v>
      </c>
    </row>
    <row r="197" spans="1:63" ht="37.5" hidden="1" customHeight="1" outlineLevel="1">
      <c r="A197" s="34" t="str">
        <f t="shared" si="117"/>
        <v>ベース_臨床サマリーモジュール_入院レコード</v>
      </c>
      <c r="B197" s="148" t="str">
        <f t="shared" si="118"/>
        <v>31</v>
      </c>
      <c r="C197" s="149"/>
      <c r="D197" s="149"/>
      <c r="E197" s="149"/>
      <c r="F197" s="150"/>
      <c r="G197" s="151" t="s">
        <v>308</v>
      </c>
      <c r="H197" s="152"/>
      <c r="I197" s="152"/>
      <c r="J197" s="152"/>
      <c r="K197" s="152"/>
      <c r="L197" s="152"/>
      <c r="M197" s="152"/>
      <c r="N197" s="153"/>
      <c r="O197" s="79" t="s">
        <v>4052</v>
      </c>
      <c r="P197" s="165" t="s">
        <v>3729</v>
      </c>
      <c r="Q197" s="166"/>
      <c r="R197" s="166"/>
      <c r="S197" s="166"/>
      <c r="T197" s="166"/>
      <c r="U197" s="166"/>
      <c r="V197" s="166"/>
      <c r="W197" s="166"/>
      <c r="X197" s="166"/>
      <c r="Y197" s="166"/>
      <c r="Z197" s="166"/>
      <c r="AA197" s="166"/>
      <c r="AB197" s="166"/>
      <c r="AC197" s="166"/>
      <c r="AD197" s="167"/>
      <c r="AE197" s="161" t="str">
        <f t="shared" ca="1" si="119"/>
        <v>sny_202310_base_merge_mml_sm_in_patient</v>
      </c>
      <c r="AF197" s="162"/>
      <c r="AG197" s="162"/>
      <c r="AH197" s="162"/>
      <c r="AI197" s="162"/>
      <c r="AJ197" s="162"/>
      <c r="AK197" s="162"/>
      <c r="AL197" s="163"/>
      <c r="AM197" s="161" t="str">
        <f t="shared" ca="1" si="120"/>
        <v>バックアップ_臨床サマリーモジュール_入院レコードテーブルから対象患者で絞り込んだ結果を格納するテーブル</v>
      </c>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4"/>
      <c r="BK197" s="32" t="str">
        <f t="shared" si="121"/>
        <v>ENT_31_C4-25_ベース_臨床サマリーモジュール_入院レコード.sql</v>
      </c>
    </row>
    <row r="198" spans="1:63" ht="37.5" hidden="1" customHeight="1" outlineLevel="1">
      <c r="A198" s="34" t="str">
        <f t="shared" si="117"/>
        <v>ベース_臨床サマリーモジュール_経過記録レコード</v>
      </c>
      <c r="B198" s="148" t="str">
        <f t="shared" si="118"/>
        <v>31</v>
      </c>
      <c r="C198" s="149"/>
      <c r="D198" s="149"/>
      <c r="E198" s="149"/>
      <c r="F198" s="150"/>
      <c r="G198" s="151" t="s">
        <v>308</v>
      </c>
      <c r="H198" s="152"/>
      <c r="I198" s="152"/>
      <c r="J198" s="152"/>
      <c r="K198" s="152"/>
      <c r="L198" s="152"/>
      <c r="M198" s="152"/>
      <c r="N198" s="153"/>
      <c r="O198" s="79" t="s">
        <v>4053</v>
      </c>
      <c r="P198" s="165" t="s">
        <v>3730</v>
      </c>
      <c r="Q198" s="166"/>
      <c r="R198" s="166"/>
      <c r="S198" s="166"/>
      <c r="T198" s="166"/>
      <c r="U198" s="166"/>
      <c r="V198" s="166"/>
      <c r="W198" s="166"/>
      <c r="X198" s="166"/>
      <c r="Y198" s="166"/>
      <c r="Z198" s="166"/>
      <c r="AA198" s="166"/>
      <c r="AB198" s="166"/>
      <c r="AC198" s="166"/>
      <c r="AD198" s="167"/>
      <c r="AE198" s="161" t="str">
        <f t="shared" ca="1" si="119"/>
        <v>sny_202310_base_merge_mml_sm_clinical_course</v>
      </c>
      <c r="AF198" s="162"/>
      <c r="AG198" s="162"/>
      <c r="AH198" s="162"/>
      <c r="AI198" s="162"/>
      <c r="AJ198" s="162"/>
      <c r="AK198" s="162"/>
      <c r="AL198" s="163"/>
      <c r="AM198" s="161" t="str">
        <f t="shared" ca="1" si="120"/>
        <v>バックアップ_臨床サマリーモジュール_経過記録レコードテーブルから対象患者で絞り込んだ結果を格納するテーブル</v>
      </c>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4"/>
      <c r="BK198" s="32" t="str">
        <f t="shared" si="121"/>
        <v>ENT_31_C4-29_ベース_臨床サマリーモジュール_経過記録レコード.sql</v>
      </c>
    </row>
    <row r="199" spans="1:63" ht="37.5" hidden="1" customHeight="1" outlineLevel="1">
      <c r="A199" s="34" t="str">
        <f t="shared" si="117"/>
        <v>ベース_臨床サマリーモジュール_検査結果レコード</v>
      </c>
      <c r="B199" s="148" t="str">
        <f t="shared" si="118"/>
        <v>31</v>
      </c>
      <c r="C199" s="149"/>
      <c r="D199" s="149"/>
      <c r="E199" s="149"/>
      <c r="F199" s="150"/>
      <c r="G199" s="151" t="s">
        <v>308</v>
      </c>
      <c r="H199" s="152"/>
      <c r="I199" s="152"/>
      <c r="J199" s="152"/>
      <c r="K199" s="152"/>
      <c r="L199" s="152"/>
      <c r="M199" s="152"/>
      <c r="N199" s="153"/>
      <c r="O199" s="79" t="s">
        <v>4054</v>
      </c>
      <c r="P199" s="165" t="s">
        <v>3731</v>
      </c>
      <c r="Q199" s="166"/>
      <c r="R199" s="166"/>
      <c r="S199" s="166"/>
      <c r="T199" s="166"/>
      <c r="U199" s="166"/>
      <c r="V199" s="166"/>
      <c r="W199" s="166"/>
      <c r="X199" s="166"/>
      <c r="Y199" s="166"/>
      <c r="Z199" s="166"/>
      <c r="AA199" s="166"/>
      <c r="AB199" s="166"/>
      <c r="AC199" s="166"/>
      <c r="AD199" s="167"/>
      <c r="AE199" s="161" t="str">
        <f t="shared" ca="1" si="119"/>
        <v>sny_202310_base_merge_mml_sm_test_results</v>
      </c>
      <c r="AF199" s="162"/>
      <c r="AG199" s="162"/>
      <c r="AH199" s="162"/>
      <c r="AI199" s="162"/>
      <c r="AJ199" s="162"/>
      <c r="AK199" s="162"/>
      <c r="AL199" s="163"/>
      <c r="AM199" s="161" t="str">
        <f t="shared" ca="1" si="120"/>
        <v>バックアップ_臨床サマリーモジュール_検査結果レコードテーブルから対象患者で絞り込んだ結果を格納するテーブル</v>
      </c>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4"/>
      <c r="BK199" s="32" t="str">
        <f t="shared" si="121"/>
        <v>ENT_31_C4-30_ベース_臨床サマリーモジュール_検査結果レコード.sql</v>
      </c>
    </row>
    <row r="200" spans="1:63" ht="37.5" hidden="1" customHeight="1" outlineLevel="1">
      <c r="A200" s="34" t="str">
        <f t="shared" si="117"/>
        <v>ベース_検歴情報モジュール_検歴情報</v>
      </c>
      <c r="B200" s="148" t="str">
        <f t="shared" si="118"/>
        <v>31</v>
      </c>
      <c r="C200" s="149"/>
      <c r="D200" s="149"/>
      <c r="E200" s="149"/>
      <c r="F200" s="150"/>
      <c r="G200" s="151" t="s">
        <v>308</v>
      </c>
      <c r="H200" s="152"/>
      <c r="I200" s="152"/>
      <c r="J200" s="152"/>
      <c r="K200" s="152"/>
      <c r="L200" s="152"/>
      <c r="M200" s="152"/>
      <c r="N200" s="153"/>
      <c r="O200" s="79" t="s">
        <v>4055</v>
      </c>
      <c r="P200" s="165" t="s">
        <v>3732</v>
      </c>
      <c r="Q200" s="166"/>
      <c r="R200" s="166"/>
      <c r="S200" s="166"/>
      <c r="T200" s="166"/>
      <c r="U200" s="166"/>
      <c r="V200" s="166"/>
      <c r="W200" s="166"/>
      <c r="X200" s="166"/>
      <c r="Y200" s="166"/>
      <c r="Z200" s="166"/>
      <c r="AA200" s="166"/>
      <c r="AB200" s="166"/>
      <c r="AC200" s="166"/>
      <c r="AD200" s="167"/>
      <c r="AE200" s="161" t="str">
        <f t="shared" ca="1" si="119"/>
        <v>sny_202310_base_merge_mml_lb_test</v>
      </c>
      <c r="AF200" s="162"/>
      <c r="AG200" s="162"/>
      <c r="AH200" s="162"/>
      <c r="AI200" s="162"/>
      <c r="AJ200" s="162"/>
      <c r="AK200" s="162"/>
      <c r="AL200" s="163"/>
      <c r="AM200" s="161" t="str">
        <f t="shared" ca="1" si="120"/>
        <v>バックアップ_検歴情報モジュール_検歴情報テーブルから対象患者で絞り込んだ結果を格納するテーブル</v>
      </c>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4"/>
      <c r="BK200" s="32" t="str">
        <f t="shared" si="121"/>
        <v>ENT_31_C4-31_ベース_検歴情報モジュール_検歴情報.sql</v>
      </c>
    </row>
    <row r="201" spans="1:63" ht="37.5" hidden="1" customHeight="1" outlineLevel="1">
      <c r="A201" s="34" t="str">
        <f t="shared" si="117"/>
        <v>ベース_検歴情報モジュール_検歴検体材料</v>
      </c>
      <c r="B201" s="148" t="str">
        <f>TEXT(31,"00")</f>
        <v>31</v>
      </c>
      <c r="C201" s="149"/>
      <c r="D201" s="149"/>
      <c r="E201" s="149"/>
      <c r="F201" s="150"/>
      <c r="G201" s="151" t="s">
        <v>308</v>
      </c>
      <c r="H201" s="152"/>
      <c r="I201" s="152"/>
      <c r="J201" s="152"/>
      <c r="K201" s="152"/>
      <c r="L201" s="152"/>
      <c r="M201" s="152"/>
      <c r="N201" s="153"/>
      <c r="O201" s="79" t="s">
        <v>4056</v>
      </c>
      <c r="P201" s="165" t="s">
        <v>3733</v>
      </c>
      <c r="Q201" s="166"/>
      <c r="R201" s="166"/>
      <c r="S201" s="166"/>
      <c r="T201" s="166"/>
      <c r="U201" s="166"/>
      <c r="V201" s="166"/>
      <c r="W201" s="166"/>
      <c r="X201" s="166"/>
      <c r="Y201" s="166"/>
      <c r="Z201" s="166"/>
      <c r="AA201" s="166"/>
      <c r="AB201" s="166"/>
      <c r="AC201" s="166"/>
      <c r="AD201" s="167"/>
      <c r="AE201" s="161" t="str">
        <f t="shared" ca="1" si="119"/>
        <v>sny_202310_base_merge_mml_lb_specimen</v>
      </c>
      <c r="AF201" s="162"/>
      <c r="AG201" s="162"/>
      <c r="AH201" s="162"/>
      <c r="AI201" s="162"/>
      <c r="AJ201" s="162"/>
      <c r="AK201" s="162"/>
      <c r="AL201" s="163"/>
      <c r="AM201" s="161" t="str">
        <f t="shared" ca="1" si="120"/>
        <v>バックアップ_検歴情報モジュール_検歴検体材料テーブルから対象患者で絞り込んだ結果を格納するテーブル</v>
      </c>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4"/>
      <c r="BK201" s="32" t="str">
        <f t="shared" si="121"/>
        <v>ENT_31_C4-33_ベース_検歴情報モジュール_検歴検体材料.sql</v>
      </c>
    </row>
    <row r="202" spans="1:63" ht="37.5" hidden="1" customHeight="1" outlineLevel="1">
      <c r="A202" s="34" t="str">
        <f t="shared" si="117"/>
        <v>ベース_検歴情報モジュール_検歴項目情報</v>
      </c>
      <c r="B202" s="148" t="str">
        <f t="shared" ref="B202:B205" si="127">TEXT(31,"00")</f>
        <v>31</v>
      </c>
      <c r="C202" s="149"/>
      <c r="D202" s="149"/>
      <c r="E202" s="149"/>
      <c r="F202" s="150"/>
      <c r="G202" s="151" t="s">
        <v>308</v>
      </c>
      <c r="H202" s="152"/>
      <c r="I202" s="152"/>
      <c r="J202" s="152"/>
      <c r="K202" s="152"/>
      <c r="L202" s="152"/>
      <c r="M202" s="152"/>
      <c r="N202" s="153"/>
      <c r="O202" s="79" t="s">
        <v>4057</v>
      </c>
      <c r="P202" s="165" t="s">
        <v>3692</v>
      </c>
      <c r="Q202" s="166"/>
      <c r="R202" s="166"/>
      <c r="S202" s="166"/>
      <c r="T202" s="166"/>
      <c r="U202" s="166"/>
      <c r="V202" s="166"/>
      <c r="W202" s="166"/>
      <c r="X202" s="166"/>
      <c r="Y202" s="166"/>
      <c r="Z202" s="166"/>
      <c r="AA202" s="166"/>
      <c r="AB202" s="166"/>
      <c r="AC202" s="166"/>
      <c r="AD202" s="167"/>
      <c r="AE202" s="161" t="str">
        <f t="shared" ca="1" si="119"/>
        <v>sny_202310_base_merge_mml_lb_item</v>
      </c>
      <c r="AF202" s="162"/>
      <c r="AG202" s="162"/>
      <c r="AH202" s="162"/>
      <c r="AI202" s="162"/>
      <c r="AJ202" s="162"/>
      <c r="AK202" s="162"/>
      <c r="AL202" s="163"/>
      <c r="AM202" s="161" t="str">
        <f t="shared" ca="1" si="120"/>
        <v>バックアップ_検歴情報モジュール_検歴項目情報テーブルから対象患者で絞り込んだ結果を格納するテーブル</v>
      </c>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4"/>
      <c r="BK202" s="32" t="str">
        <f t="shared" si="121"/>
        <v>ENT_31_C4-35_ベース_検歴情報モジュール_検歴項目情報.sql</v>
      </c>
    </row>
    <row r="203" spans="1:63" ht="37.5" hidden="1" customHeight="1" outlineLevel="1">
      <c r="A203" s="34" t="str">
        <f t="shared" si="117"/>
        <v>ベース_バイタルサインモジュール_バイタルサイン</v>
      </c>
      <c r="B203" s="148" t="str">
        <f t="shared" si="127"/>
        <v>31</v>
      </c>
      <c r="C203" s="149"/>
      <c r="D203" s="149"/>
      <c r="E203" s="149"/>
      <c r="F203" s="150"/>
      <c r="G203" s="151" t="s">
        <v>308</v>
      </c>
      <c r="H203" s="152"/>
      <c r="I203" s="152"/>
      <c r="J203" s="152"/>
      <c r="K203" s="152"/>
      <c r="L203" s="152"/>
      <c r="M203" s="152"/>
      <c r="N203" s="153"/>
      <c r="O203" s="79" t="s">
        <v>4102</v>
      </c>
      <c r="P203" s="165" t="s">
        <v>4117</v>
      </c>
      <c r="Q203" s="166"/>
      <c r="R203" s="166"/>
      <c r="S203" s="166"/>
      <c r="T203" s="166"/>
      <c r="U203" s="166"/>
      <c r="V203" s="166"/>
      <c r="W203" s="166"/>
      <c r="X203" s="166"/>
      <c r="Y203" s="166"/>
      <c r="Z203" s="166"/>
      <c r="AA203" s="166"/>
      <c r="AB203" s="166"/>
      <c r="AC203" s="166"/>
      <c r="AD203" s="167"/>
      <c r="AE203" s="161" t="str">
        <f t="shared" ca="1" si="119"/>
        <v>sny_202310_base_merge_mml_vs_vitalsign</v>
      </c>
      <c r="AF203" s="162"/>
      <c r="AG203" s="162"/>
      <c r="AH203" s="162"/>
      <c r="AI203" s="162"/>
      <c r="AJ203" s="162"/>
      <c r="AK203" s="162"/>
      <c r="AL203" s="163"/>
      <c r="AM203" s="161" t="str">
        <f t="shared" ca="1" si="120"/>
        <v>ベース_バイタルサインモジュール_バイタルサインテーブルから組入れ条件の第一条件で絞り込んだ結果を格納するテーブル</v>
      </c>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4"/>
      <c r="BK203" s="32" t="str">
        <f t="shared" si="121"/>
        <v>ENT_31_C4-37_ベース_バイタルサインモジュール_バイタルサイン.sql</v>
      </c>
    </row>
    <row r="204" spans="1:63" ht="37.5" hidden="1" customHeight="1" outlineLevel="1">
      <c r="A204" s="34" t="str">
        <f t="shared" si="117"/>
        <v>ベース_バイタルサインモジュール_記録項目</v>
      </c>
      <c r="B204" s="148" t="str">
        <f t="shared" si="127"/>
        <v>31</v>
      </c>
      <c r="C204" s="149"/>
      <c r="D204" s="149"/>
      <c r="E204" s="149"/>
      <c r="F204" s="150"/>
      <c r="G204" s="151" t="s">
        <v>308</v>
      </c>
      <c r="H204" s="152"/>
      <c r="I204" s="152"/>
      <c r="J204" s="152"/>
      <c r="K204" s="152"/>
      <c r="L204" s="152"/>
      <c r="M204" s="152"/>
      <c r="N204" s="153"/>
      <c r="O204" s="79" t="s">
        <v>4103</v>
      </c>
      <c r="P204" s="165" t="s">
        <v>4106</v>
      </c>
      <c r="Q204" s="166"/>
      <c r="R204" s="166"/>
      <c r="S204" s="166"/>
      <c r="T204" s="166"/>
      <c r="U204" s="166"/>
      <c r="V204" s="166"/>
      <c r="W204" s="166"/>
      <c r="X204" s="166"/>
      <c r="Y204" s="166"/>
      <c r="Z204" s="166"/>
      <c r="AA204" s="166"/>
      <c r="AB204" s="166"/>
      <c r="AC204" s="166"/>
      <c r="AD204" s="167"/>
      <c r="AE204" s="161" t="str">
        <f t="shared" ca="1" si="119"/>
        <v>sny_202310_base_merge_mml_vs_item</v>
      </c>
      <c r="AF204" s="162"/>
      <c r="AG204" s="162"/>
      <c r="AH204" s="162"/>
      <c r="AI204" s="162"/>
      <c r="AJ204" s="162"/>
      <c r="AK204" s="162"/>
      <c r="AL204" s="163"/>
      <c r="AM204" s="161" t="str">
        <f t="shared" ca="1" si="120"/>
        <v>ベース_バイタルサインモジュール_記録項目テーブルから組入れ条件の第一条件で絞り込んだ結果を格納するテーブル</v>
      </c>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4"/>
      <c r="BK204" s="32" t="str">
        <f t="shared" si="121"/>
        <v>ENT_31_C4-38_ベース_バイタルサインモジュール_記録項目.sql</v>
      </c>
    </row>
    <row r="205" spans="1:63" ht="37.5" hidden="1" customHeight="1" outlineLevel="1">
      <c r="A205" s="34" t="str">
        <f t="shared" si="117"/>
        <v>ベース_体温表モジュール_バイタルサイン</v>
      </c>
      <c r="B205" s="148" t="str">
        <f t="shared" si="127"/>
        <v>31</v>
      </c>
      <c r="C205" s="149"/>
      <c r="D205" s="149"/>
      <c r="E205" s="149"/>
      <c r="F205" s="150"/>
      <c r="G205" s="151" t="s">
        <v>308</v>
      </c>
      <c r="H205" s="152"/>
      <c r="I205" s="152"/>
      <c r="J205" s="152"/>
      <c r="K205" s="152"/>
      <c r="L205" s="152"/>
      <c r="M205" s="152"/>
      <c r="N205" s="153"/>
      <c r="O205" s="79" t="s">
        <v>4104</v>
      </c>
      <c r="P205" s="165" t="s">
        <v>4107</v>
      </c>
      <c r="Q205" s="166"/>
      <c r="R205" s="166"/>
      <c r="S205" s="166"/>
      <c r="T205" s="166"/>
      <c r="U205" s="166"/>
      <c r="V205" s="166"/>
      <c r="W205" s="166"/>
      <c r="X205" s="166"/>
      <c r="Y205" s="166"/>
      <c r="Z205" s="166"/>
      <c r="AA205" s="166"/>
      <c r="AB205" s="166"/>
      <c r="AC205" s="166"/>
      <c r="AD205" s="167"/>
      <c r="AE205" s="161" t="str">
        <f t="shared" ca="1" si="119"/>
        <v>sny_202310_base_merge_mml_fs_vitalsign</v>
      </c>
      <c r="AF205" s="162"/>
      <c r="AG205" s="162"/>
      <c r="AH205" s="162"/>
      <c r="AI205" s="162"/>
      <c r="AJ205" s="162"/>
      <c r="AK205" s="162"/>
      <c r="AL205" s="163"/>
      <c r="AM205" s="161" t="str">
        <f t="shared" ca="1" si="120"/>
        <v>ベース_体温表モジュール_バイタルサインテーブルから組入れ条件の第一条件で絞り込んだ結果を格納するテーブル</v>
      </c>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4"/>
      <c r="BK205" s="32" t="str">
        <f t="shared" si="121"/>
        <v>ENT_31_C4-40_ベース_体温表モジュール_バイタルサイン.sql</v>
      </c>
    </row>
    <row r="206" spans="1:63" ht="37.5" hidden="1" customHeight="1" outlineLevel="1">
      <c r="A206" s="34" t="str">
        <f>P206</f>
        <v>ベース_体温表モジュール_記録項目</v>
      </c>
      <c r="B206" s="148" t="str">
        <f>TEXT(31,"00")</f>
        <v>31</v>
      </c>
      <c r="C206" s="149"/>
      <c r="D206" s="149"/>
      <c r="E206" s="149"/>
      <c r="F206" s="150"/>
      <c r="G206" s="151" t="s">
        <v>308</v>
      </c>
      <c r="H206" s="152"/>
      <c r="I206" s="152"/>
      <c r="J206" s="152"/>
      <c r="K206" s="152"/>
      <c r="L206" s="152"/>
      <c r="M206" s="152"/>
      <c r="N206" s="153"/>
      <c r="O206" s="79" t="s">
        <v>4105</v>
      </c>
      <c r="P206" s="165" t="s">
        <v>4108</v>
      </c>
      <c r="Q206" s="166"/>
      <c r="R206" s="166"/>
      <c r="S206" s="166"/>
      <c r="T206" s="166"/>
      <c r="U206" s="166"/>
      <c r="V206" s="166"/>
      <c r="W206" s="166"/>
      <c r="X206" s="166"/>
      <c r="Y206" s="166"/>
      <c r="Z206" s="166"/>
      <c r="AA206" s="166"/>
      <c r="AB206" s="166"/>
      <c r="AC206" s="166"/>
      <c r="AD206" s="167"/>
      <c r="AE206" s="161" t="str">
        <f t="shared" ca="1" si="119"/>
        <v>sny_202310_base_merge_mml_fs_item</v>
      </c>
      <c r="AF206" s="162"/>
      <c r="AG206" s="162"/>
      <c r="AH206" s="162"/>
      <c r="AI206" s="162"/>
      <c r="AJ206" s="162"/>
      <c r="AK206" s="162"/>
      <c r="AL206" s="163"/>
      <c r="AM206" s="161" t="str">
        <f t="shared" ca="1" si="120"/>
        <v>ベース_体温表モジュール_記録項目テーブルから組入れ条件の第一条件で絞り込んだ結果を格納するテーブル</v>
      </c>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4"/>
      <c r="BK206" s="32" t="str">
        <f t="shared" si="121"/>
        <v>ENT_31_C4-41_ベース_体温表モジュール_記録項目.sql</v>
      </c>
    </row>
    <row r="207" spans="1:63" ht="37.5" customHeight="1" collapsed="1">
      <c r="A207" s="34" t="str">
        <f t="shared" si="78"/>
        <v>ワーク_患者基本データ</v>
      </c>
      <c r="B207" s="168" t="str">
        <f t="shared" ref="B207:B217" si="128">TEXT(41,"00")</f>
        <v>41</v>
      </c>
      <c r="C207" s="169"/>
      <c r="D207" s="169"/>
      <c r="E207" s="169"/>
      <c r="F207" s="170"/>
      <c r="G207" s="171" t="s">
        <v>559</v>
      </c>
      <c r="H207" s="172"/>
      <c r="I207" s="172"/>
      <c r="J207" s="172"/>
      <c r="K207" s="172"/>
      <c r="L207" s="172"/>
      <c r="M207" s="172"/>
      <c r="N207" s="173"/>
      <c r="O207" s="79" t="str">
        <f t="shared" ref="O207:O217" si="129">IF(P207&lt;&gt;"","ENT_"&amp;RIGHT(B207,2)&amp;"_"&amp;TEXT(ROW(O207)-ROW(O$207)+1,"00"),"")</f>
        <v>ENT_41_01</v>
      </c>
      <c r="P207" s="154" t="s">
        <v>4178</v>
      </c>
      <c r="Q207" s="155"/>
      <c r="R207" s="155"/>
      <c r="S207" s="155"/>
      <c r="T207" s="155"/>
      <c r="U207" s="155"/>
      <c r="V207" s="155"/>
      <c r="W207" s="155"/>
      <c r="X207" s="155"/>
      <c r="Y207" s="155"/>
      <c r="Z207" s="155"/>
      <c r="AA207" s="155"/>
      <c r="AB207" s="155"/>
      <c r="AC207" s="155"/>
      <c r="AD207" s="156"/>
      <c r="AE207" s="157" t="str">
        <f t="shared" ref="AE207:AE228" ca="1" si="130">IFERROR(INDIRECT(P207&amp;"!D8"),"")</f>
        <v>sny_202310_work_patient_basic</v>
      </c>
      <c r="AF207" s="158"/>
      <c r="AG207" s="158"/>
      <c r="AH207" s="158"/>
      <c r="AI207" s="158"/>
      <c r="AJ207" s="158"/>
      <c r="AK207" s="158"/>
      <c r="AL207" s="159"/>
      <c r="AM207" s="157" t="str">
        <f t="shared" ref="AM207:AM228" ca="1" si="131">IFERROR(INDIRECT(P207&amp;"!D9"),"")</f>
        <v>レセプト、MMLの患者基本データを格納するテーブル</v>
      </c>
      <c r="AN207" s="158"/>
      <c r="AO207" s="158"/>
      <c r="AP207" s="158"/>
      <c r="AQ207" s="158"/>
      <c r="AR207" s="158"/>
      <c r="AS207" s="158"/>
      <c r="AT207" s="158"/>
      <c r="AU207" s="158"/>
      <c r="AV207" s="158"/>
      <c r="AW207" s="158"/>
      <c r="AX207" s="158"/>
      <c r="AY207" s="158"/>
      <c r="AZ207" s="158"/>
      <c r="BA207" s="158"/>
      <c r="BB207" s="158"/>
      <c r="BC207" s="158"/>
      <c r="BD207" s="158"/>
      <c r="BE207" s="158"/>
      <c r="BF207" s="158"/>
      <c r="BG207" s="158"/>
      <c r="BH207" s="158"/>
      <c r="BI207" s="158"/>
      <c r="BJ207" s="160"/>
      <c r="BK207" s="32" t="str">
        <f t="shared" si="43"/>
        <v>ENT_41_01_ワーク_患者基本データ.sql</v>
      </c>
    </row>
    <row r="208" spans="1:63" ht="37.5" customHeight="1">
      <c r="A208" s="34" t="str">
        <f t="shared" ref="A208" si="132">P208</f>
        <v>ワーク_疾患データ</v>
      </c>
      <c r="B208" s="148" t="str">
        <f t="shared" si="128"/>
        <v>41</v>
      </c>
      <c r="C208" s="149"/>
      <c r="D208" s="149"/>
      <c r="E208" s="149"/>
      <c r="F208" s="149"/>
      <c r="G208" s="151" t="s">
        <v>559</v>
      </c>
      <c r="H208" s="152"/>
      <c r="I208" s="152"/>
      <c r="J208" s="152"/>
      <c r="K208" s="152"/>
      <c r="L208" s="152"/>
      <c r="M208" s="152"/>
      <c r="N208" s="152"/>
      <c r="O208" s="111" t="str">
        <f t="shared" si="129"/>
        <v>ENT_41_02</v>
      </c>
      <c r="P208" s="154" t="s">
        <v>561</v>
      </c>
      <c r="Q208" s="155"/>
      <c r="R208" s="155"/>
      <c r="S208" s="155"/>
      <c r="T208" s="155"/>
      <c r="U208" s="155"/>
      <c r="V208" s="155"/>
      <c r="W208" s="155"/>
      <c r="X208" s="155"/>
      <c r="Y208" s="155"/>
      <c r="Z208" s="155"/>
      <c r="AA208" s="155"/>
      <c r="AB208" s="155"/>
      <c r="AC208" s="155"/>
      <c r="AD208" s="156"/>
      <c r="AE208" s="157" t="str">
        <f t="shared" ref="AE208" ca="1" si="133">IFERROR(INDIRECT(P208&amp;"!D8"),"")</f>
        <v>sny_202310_work_shikkan</v>
      </c>
      <c r="AF208" s="158"/>
      <c r="AG208" s="158"/>
      <c r="AH208" s="158"/>
      <c r="AI208" s="158"/>
      <c r="AJ208" s="158"/>
      <c r="AK208" s="158"/>
      <c r="AL208" s="159"/>
      <c r="AM208" s="157" t="str">
        <f t="shared" ref="AM208" ca="1" si="134">IFERROR(INDIRECT(P208&amp;"!D9"),"")</f>
        <v>MMLの疾患データを格納するテーブル</v>
      </c>
      <c r="AN208" s="158"/>
      <c r="AO208" s="158"/>
      <c r="AP208" s="158"/>
      <c r="AQ208" s="158"/>
      <c r="AR208" s="158"/>
      <c r="AS208" s="158"/>
      <c r="AT208" s="158"/>
      <c r="AU208" s="158"/>
      <c r="AV208" s="158"/>
      <c r="AW208" s="158"/>
      <c r="AX208" s="158"/>
      <c r="AY208" s="158"/>
      <c r="AZ208" s="158"/>
      <c r="BA208" s="158"/>
      <c r="BB208" s="158"/>
      <c r="BC208" s="158"/>
      <c r="BD208" s="158"/>
      <c r="BE208" s="158"/>
      <c r="BF208" s="158"/>
      <c r="BG208" s="158"/>
      <c r="BH208" s="158"/>
      <c r="BI208" s="158"/>
      <c r="BJ208" s="160"/>
      <c r="BK208" s="32" t="str">
        <f t="shared" ref="BK208" si="135">IF(P208&lt;&gt;"",O208&amp;"_"&amp;P208&amp;".sql","")</f>
        <v>ENT_41_02_ワーク_疾患データ.sql</v>
      </c>
    </row>
    <row r="209" spans="1:63" ht="37.5" customHeight="1">
      <c r="A209" s="34" t="str">
        <f t="shared" ref="A209" si="136">P209</f>
        <v>ワーク_入院退院_DPC</v>
      </c>
      <c r="B209" s="148" t="str">
        <f t="shared" si="128"/>
        <v>41</v>
      </c>
      <c r="C209" s="149"/>
      <c r="D209" s="149"/>
      <c r="E209" s="149"/>
      <c r="F209" s="149"/>
      <c r="G209" s="151" t="s">
        <v>559</v>
      </c>
      <c r="H209" s="152"/>
      <c r="I209" s="152"/>
      <c r="J209" s="152"/>
      <c r="K209" s="152"/>
      <c r="L209" s="152"/>
      <c r="M209" s="152"/>
      <c r="N209" s="152"/>
      <c r="O209" s="111" t="str">
        <f t="shared" si="129"/>
        <v>ENT_41_03</v>
      </c>
      <c r="P209" s="154" t="s">
        <v>4186</v>
      </c>
      <c r="Q209" s="155"/>
      <c r="R209" s="155"/>
      <c r="S209" s="155"/>
      <c r="T209" s="155"/>
      <c r="U209" s="155"/>
      <c r="V209" s="155"/>
      <c r="W209" s="155"/>
      <c r="X209" s="155"/>
      <c r="Y209" s="155"/>
      <c r="Z209" s="155"/>
      <c r="AA209" s="155"/>
      <c r="AB209" s="155"/>
      <c r="AC209" s="155"/>
      <c r="AD209" s="156"/>
      <c r="AE209" s="157" t="str">
        <f t="shared" ref="AE209" ca="1" si="137">IFERROR(INDIRECT(P209&amp;"!D8"),"")</f>
        <v>sny_202310_work_nyu_tai_in_dpc</v>
      </c>
      <c r="AF209" s="158"/>
      <c r="AG209" s="158"/>
      <c r="AH209" s="158"/>
      <c r="AI209" s="158"/>
      <c r="AJ209" s="158"/>
      <c r="AK209" s="158"/>
      <c r="AL209" s="159"/>
      <c r="AM209" s="157" t="str">
        <f t="shared" ref="AM209" ca="1" si="138">IFERROR(INDIRECT(P209&amp;"!D9"),"")</f>
        <v>DPCの入退院データを格納するテーブル</v>
      </c>
      <c r="AN209" s="158"/>
      <c r="AO209" s="158"/>
      <c r="AP209" s="158"/>
      <c r="AQ209" s="158"/>
      <c r="AR209" s="158"/>
      <c r="AS209" s="158"/>
      <c r="AT209" s="158"/>
      <c r="AU209" s="158"/>
      <c r="AV209" s="158"/>
      <c r="AW209" s="158"/>
      <c r="AX209" s="158"/>
      <c r="AY209" s="158"/>
      <c r="AZ209" s="158"/>
      <c r="BA209" s="158"/>
      <c r="BB209" s="158"/>
      <c r="BC209" s="158"/>
      <c r="BD209" s="158"/>
      <c r="BE209" s="158"/>
      <c r="BF209" s="158"/>
      <c r="BG209" s="158"/>
      <c r="BH209" s="158"/>
      <c r="BI209" s="158"/>
      <c r="BJ209" s="160"/>
      <c r="BK209" s="32" t="str">
        <f t="shared" ref="BK209" si="139">IF(P209&lt;&gt;"",O209&amp;"_"&amp;P209&amp;".sql","")</f>
        <v>ENT_41_03_ワーク_入院退院_DPC.sql</v>
      </c>
    </row>
    <row r="210" spans="1:63" ht="37.5" customHeight="1">
      <c r="A210" s="34" t="str">
        <f t="shared" ref="A210" si="140">P210</f>
        <v>ワーク_入院退院_MML</v>
      </c>
      <c r="B210" s="148" t="str">
        <f t="shared" si="128"/>
        <v>41</v>
      </c>
      <c r="C210" s="149"/>
      <c r="D210" s="149"/>
      <c r="E210" s="149"/>
      <c r="F210" s="149"/>
      <c r="G210" s="151" t="s">
        <v>559</v>
      </c>
      <c r="H210" s="152"/>
      <c r="I210" s="152"/>
      <c r="J210" s="152"/>
      <c r="K210" s="152"/>
      <c r="L210" s="152"/>
      <c r="M210" s="152"/>
      <c r="N210" s="152"/>
      <c r="O210" s="111" t="str">
        <f t="shared" si="129"/>
        <v>ENT_41_04</v>
      </c>
      <c r="P210" s="154" t="s">
        <v>4190</v>
      </c>
      <c r="Q210" s="155"/>
      <c r="R210" s="155"/>
      <c r="S210" s="155"/>
      <c r="T210" s="155"/>
      <c r="U210" s="155"/>
      <c r="V210" s="155"/>
      <c r="W210" s="155"/>
      <c r="X210" s="155"/>
      <c r="Y210" s="155"/>
      <c r="Z210" s="155"/>
      <c r="AA210" s="155"/>
      <c r="AB210" s="155"/>
      <c r="AC210" s="155"/>
      <c r="AD210" s="156"/>
      <c r="AE210" s="157" t="str">
        <f t="shared" ref="AE210" ca="1" si="141">IFERROR(INDIRECT(P210&amp;"!D8"),"")</f>
        <v>sny_202310_work_nyu_tai_in_mml</v>
      </c>
      <c r="AF210" s="158"/>
      <c r="AG210" s="158"/>
      <c r="AH210" s="158"/>
      <c r="AI210" s="158"/>
      <c r="AJ210" s="158"/>
      <c r="AK210" s="158"/>
      <c r="AL210" s="159"/>
      <c r="AM210" s="157" t="str">
        <f t="shared" ref="AM210" ca="1" si="142">IFERROR(INDIRECT(P210&amp;"!D9"),"")</f>
        <v>MMLの入退院データを格納するテーブル</v>
      </c>
      <c r="AN210" s="158"/>
      <c r="AO210" s="158"/>
      <c r="AP210" s="158"/>
      <c r="AQ210" s="158"/>
      <c r="AR210" s="158"/>
      <c r="AS210" s="158"/>
      <c r="AT210" s="158"/>
      <c r="AU210" s="158"/>
      <c r="AV210" s="158"/>
      <c r="AW210" s="158"/>
      <c r="AX210" s="158"/>
      <c r="AY210" s="158"/>
      <c r="AZ210" s="158"/>
      <c r="BA210" s="158"/>
      <c r="BB210" s="158"/>
      <c r="BC210" s="158"/>
      <c r="BD210" s="158"/>
      <c r="BE210" s="158"/>
      <c r="BF210" s="158"/>
      <c r="BG210" s="158"/>
      <c r="BH210" s="158"/>
      <c r="BI210" s="158"/>
      <c r="BJ210" s="160"/>
      <c r="BK210" s="32" t="str">
        <f t="shared" ref="BK210" si="143">IF(P210&lt;&gt;"",O210&amp;"_"&amp;P210&amp;".sql","")</f>
        <v>ENT_41_04_ワーク_入院退院_MML.sql</v>
      </c>
    </row>
    <row r="211" spans="1:63" ht="37.5" customHeight="1">
      <c r="A211" s="34" t="str">
        <f t="shared" ref="A211" si="144">P211</f>
        <v>ワーク_入院退院</v>
      </c>
      <c r="B211" s="148" t="str">
        <f t="shared" si="128"/>
        <v>41</v>
      </c>
      <c r="C211" s="149"/>
      <c r="D211" s="149"/>
      <c r="E211" s="149"/>
      <c r="F211" s="149"/>
      <c r="G211" s="151" t="s">
        <v>559</v>
      </c>
      <c r="H211" s="152"/>
      <c r="I211" s="152"/>
      <c r="J211" s="152"/>
      <c r="K211" s="152"/>
      <c r="L211" s="152"/>
      <c r="M211" s="152"/>
      <c r="N211" s="152"/>
      <c r="O211" s="111" t="str">
        <f t="shared" si="129"/>
        <v>ENT_41_05</v>
      </c>
      <c r="P211" s="154" t="s">
        <v>4192</v>
      </c>
      <c r="Q211" s="155"/>
      <c r="R211" s="155"/>
      <c r="S211" s="155"/>
      <c r="T211" s="155"/>
      <c r="U211" s="155"/>
      <c r="V211" s="155"/>
      <c r="W211" s="155"/>
      <c r="X211" s="155"/>
      <c r="Y211" s="155"/>
      <c r="Z211" s="155"/>
      <c r="AA211" s="155"/>
      <c r="AB211" s="155"/>
      <c r="AC211" s="155"/>
      <c r="AD211" s="156"/>
      <c r="AE211" s="157" t="str">
        <f t="shared" ref="AE211" ca="1" si="145">IFERROR(INDIRECT(P211&amp;"!D8"),"")</f>
        <v>sny_202310_work_nyu_tai_in</v>
      </c>
      <c r="AF211" s="158"/>
      <c r="AG211" s="158"/>
      <c r="AH211" s="158"/>
      <c r="AI211" s="158"/>
      <c r="AJ211" s="158"/>
      <c r="AK211" s="158"/>
      <c r="AL211" s="159"/>
      <c r="AM211" s="157" t="str">
        <f t="shared" ref="AM211" ca="1" si="146">IFERROR(INDIRECT(P211&amp;"!D9"),"")</f>
        <v>入退院データを格納するテーブル</v>
      </c>
      <c r="AN211" s="158"/>
      <c r="AO211" s="158"/>
      <c r="AP211" s="158"/>
      <c r="AQ211" s="158"/>
      <c r="AR211" s="158"/>
      <c r="AS211" s="158"/>
      <c r="AT211" s="158"/>
      <c r="AU211" s="158"/>
      <c r="AV211" s="158"/>
      <c r="AW211" s="158"/>
      <c r="AX211" s="158"/>
      <c r="AY211" s="158"/>
      <c r="AZ211" s="158"/>
      <c r="BA211" s="158"/>
      <c r="BB211" s="158"/>
      <c r="BC211" s="158"/>
      <c r="BD211" s="158"/>
      <c r="BE211" s="158"/>
      <c r="BF211" s="158"/>
      <c r="BG211" s="158"/>
      <c r="BH211" s="158"/>
      <c r="BI211" s="158"/>
      <c r="BJ211" s="160"/>
      <c r="BK211" s="32" t="str">
        <f t="shared" ref="BK211" si="147">IF(P211&lt;&gt;"",O211&amp;"_"&amp;P211&amp;".sql","")</f>
        <v>ENT_41_05_ワーク_入院退院.sql</v>
      </c>
    </row>
    <row r="212" spans="1:63" ht="37.5" customHeight="1">
      <c r="A212" s="34" t="str">
        <f t="shared" ref="A212" si="148">P212</f>
        <v>ワーク_外来_DPC</v>
      </c>
      <c r="B212" s="148" t="str">
        <f t="shared" si="128"/>
        <v>41</v>
      </c>
      <c r="C212" s="149"/>
      <c r="D212" s="149"/>
      <c r="E212" s="149"/>
      <c r="F212" s="149"/>
      <c r="G212" s="151" t="s">
        <v>559</v>
      </c>
      <c r="H212" s="152"/>
      <c r="I212" s="152"/>
      <c r="J212" s="152"/>
      <c r="K212" s="152"/>
      <c r="L212" s="152"/>
      <c r="M212" s="152"/>
      <c r="N212" s="152"/>
      <c r="O212" s="111" t="str">
        <f t="shared" si="129"/>
        <v>ENT_41_06</v>
      </c>
      <c r="P212" s="154" t="s">
        <v>4194</v>
      </c>
      <c r="Q212" s="155"/>
      <c r="R212" s="155"/>
      <c r="S212" s="155"/>
      <c r="T212" s="155"/>
      <c r="U212" s="155"/>
      <c r="V212" s="155"/>
      <c r="W212" s="155"/>
      <c r="X212" s="155"/>
      <c r="Y212" s="155"/>
      <c r="Z212" s="155"/>
      <c r="AA212" s="155"/>
      <c r="AB212" s="155"/>
      <c r="AC212" s="155"/>
      <c r="AD212" s="156"/>
      <c r="AE212" s="157" t="str">
        <f t="shared" ref="AE212" ca="1" si="149">IFERROR(INDIRECT(P212&amp;"!D8"),"")</f>
        <v>sny_202310_work_gairai_dpc</v>
      </c>
      <c r="AF212" s="158"/>
      <c r="AG212" s="158"/>
      <c r="AH212" s="158"/>
      <c r="AI212" s="158"/>
      <c r="AJ212" s="158"/>
      <c r="AK212" s="158"/>
      <c r="AL212" s="159"/>
      <c r="AM212" s="157" t="str">
        <f t="shared" ref="AM212" ca="1" si="150">IFERROR(INDIRECT(P212&amp;"!D9"),"")</f>
        <v>DPCの外来データを格納するテーブル</v>
      </c>
      <c r="AN212" s="158"/>
      <c r="AO212" s="158"/>
      <c r="AP212" s="158"/>
      <c r="AQ212" s="158"/>
      <c r="AR212" s="158"/>
      <c r="AS212" s="158"/>
      <c r="AT212" s="158"/>
      <c r="AU212" s="158"/>
      <c r="AV212" s="158"/>
      <c r="AW212" s="158"/>
      <c r="AX212" s="158"/>
      <c r="AY212" s="158"/>
      <c r="AZ212" s="158"/>
      <c r="BA212" s="158"/>
      <c r="BB212" s="158"/>
      <c r="BC212" s="158"/>
      <c r="BD212" s="158"/>
      <c r="BE212" s="158"/>
      <c r="BF212" s="158"/>
      <c r="BG212" s="158"/>
      <c r="BH212" s="158"/>
      <c r="BI212" s="158"/>
      <c r="BJ212" s="160"/>
      <c r="BK212" s="32" t="str">
        <f t="shared" ref="BK212" si="151">IF(P212&lt;&gt;"",O212&amp;"_"&amp;P212&amp;".sql","")</f>
        <v>ENT_41_06_ワーク_外来_DPC.sql</v>
      </c>
    </row>
    <row r="213" spans="1:63" ht="37.5" customHeight="1">
      <c r="A213" s="34" t="str">
        <f t="shared" ref="A213" si="152">P213</f>
        <v>ワーク_外来_MML</v>
      </c>
      <c r="B213" s="148" t="str">
        <f t="shared" si="128"/>
        <v>41</v>
      </c>
      <c r="C213" s="149"/>
      <c r="D213" s="149"/>
      <c r="E213" s="149"/>
      <c r="F213" s="149"/>
      <c r="G213" s="151" t="s">
        <v>559</v>
      </c>
      <c r="H213" s="152"/>
      <c r="I213" s="152"/>
      <c r="J213" s="152"/>
      <c r="K213" s="152"/>
      <c r="L213" s="152"/>
      <c r="M213" s="152"/>
      <c r="N213" s="152"/>
      <c r="O213" s="111" t="str">
        <f t="shared" si="129"/>
        <v>ENT_41_07</v>
      </c>
      <c r="P213" s="154" t="s">
        <v>4197</v>
      </c>
      <c r="Q213" s="155"/>
      <c r="R213" s="155"/>
      <c r="S213" s="155"/>
      <c r="T213" s="155"/>
      <c r="U213" s="155"/>
      <c r="V213" s="155"/>
      <c r="W213" s="155"/>
      <c r="X213" s="155"/>
      <c r="Y213" s="155"/>
      <c r="Z213" s="155"/>
      <c r="AA213" s="155"/>
      <c r="AB213" s="155"/>
      <c r="AC213" s="155"/>
      <c r="AD213" s="156"/>
      <c r="AE213" s="157" t="str">
        <f t="shared" ref="AE213" ca="1" si="153">IFERROR(INDIRECT(P213&amp;"!D8"),"")</f>
        <v>sny_202310_work_gairai_mml</v>
      </c>
      <c r="AF213" s="158"/>
      <c r="AG213" s="158"/>
      <c r="AH213" s="158"/>
      <c r="AI213" s="158"/>
      <c r="AJ213" s="158"/>
      <c r="AK213" s="158"/>
      <c r="AL213" s="159"/>
      <c r="AM213" s="157" t="str">
        <f t="shared" ref="AM213" ca="1" si="154">IFERROR(INDIRECT(P213&amp;"!D9"),"")</f>
        <v>MMLの外来データを格納するテーブル</v>
      </c>
      <c r="AN213" s="158"/>
      <c r="AO213" s="158"/>
      <c r="AP213" s="158"/>
      <c r="AQ213" s="158"/>
      <c r="AR213" s="158"/>
      <c r="AS213" s="158"/>
      <c r="AT213" s="158"/>
      <c r="AU213" s="158"/>
      <c r="AV213" s="158"/>
      <c r="AW213" s="158"/>
      <c r="AX213" s="158"/>
      <c r="AY213" s="158"/>
      <c r="AZ213" s="158"/>
      <c r="BA213" s="158"/>
      <c r="BB213" s="158"/>
      <c r="BC213" s="158"/>
      <c r="BD213" s="158"/>
      <c r="BE213" s="158"/>
      <c r="BF213" s="158"/>
      <c r="BG213" s="158"/>
      <c r="BH213" s="158"/>
      <c r="BI213" s="158"/>
      <c r="BJ213" s="160"/>
      <c r="BK213" s="32" t="str">
        <f t="shared" ref="BK213" si="155">IF(P213&lt;&gt;"",O213&amp;"_"&amp;P213&amp;".sql","")</f>
        <v>ENT_41_07_ワーク_外来_MML.sql</v>
      </c>
    </row>
    <row r="214" spans="1:63" ht="37.5" customHeight="1">
      <c r="A214" s="34" t="str">
        <f t="shared" ref="A214" si="156">P214</f>
        <v>ワーク_外来</v>
      </c>
      <c r="B214" s="148" t="str">
        <f t="shared" si="128"/>
        <v>41</v>
      </c>
      <c r="C214" s="149"/>
      <c r="D214" s="149"/>
      <c r="E214" s="149"/>
      <c r="F214" s="149"/>
      <c r="G214" s="151" t="s">
        <v>559</v>
      </c>
      <c r="H214" s="152"/>
      <c r="I214" s="152"/>
      <c r="J214" s="152"/>
      <c r="K214" s="152"/>
      <c r="L214" s="152"/>
      <c r="M214" s="152"/>
      <c r="N214" s="152"/>
      <c r="O214" s="111" t="str">
        <f t="shared" si="129"/>
        <v>ENT_41_08</v>
      </c>
      <c r="P214" s="154" t="s">
        <v>4198</v>
      </c>
      <c r="Q214" s="155"/>
      <c r="R214" s="155"/>
      <c r="S214" s="155"/>
      <c r="T214" s="155"/>
      <c r="U214" s="155"/>
      <c r="V214" s="155"/>
      <c r="W214" s="155"/>
      <c r="X214" s="155"/>
      <c r="Y214" s="155"/>
      <c r="Z214" s="155"/>
      <c r="AA214" s="155"/>
      <c r="AB214" s="155"/>
      <c r="AC214" s="155"/>
      <c r="AD214" s="156"/>
      <c r="AE214" s="157" t="str">
        <f t="shared" ref="AE214" ca="1" si="157">IFERROR(INDIRECT(P214&amp;"!D8"),"")</f>
        <v>sny_202310_work_gairai</v>
      </c>
      <c r="AF214" s="158"/>
      <c r="AG214" s="158"/>
      <c r="AH214" s="158"/>
      <c r="AI214" s="158"/>
      <c r="AJ214" s="158"/>
      <c r="AK214" s="158"/>
      <c r="AL214" s="159"/>
      <c r="AM214" s="157" t="str">
        <f t="shared" ref="AM214" ca="1" si="158">IFERROR(INDIRECT(P214&amp;"!D9"),"")</f>
        <v>外来データを格納するテーブル</v>
      </c>
      <c r="AN214" s="158"/>
      <c r="AO214" s="158"/>
      <c r="AP214" s="158"/>
      <c r="AQ214" s="158"/>
      <c r="AR214" s="158"/>
      <c r="AS214" s="158"/>
      <c r="AT214" s="158"/>
      <c r="AU214" s="158"/>
      <c r="AV214" s="158"/>
      <c r="AW214" s="158"/>
      <c r="AX214" s="158"/>
      <c r="AY214" s="158"/>
      <c r="AZ214" s="158"/>
      <c r="BA214" s="158"/>
      <c r="BB214" s="158"/>
      <c r="BC214" s="158"/>
      <c r="BD214" s="158"/>
      <c r="BE214" s="158"/>
      <c r="BF214" s="158"/>
      <c r="BG214" s="158"/>
      <c r="BH214" s="158"/>
      <c r="BI214" s="158"/>
      <c r="BJ214" s="160"/>
      <c r="BK214" s="32" t="str">
        <f t="shared" ref="BK214" si="159">IF(P214&lt;&gt;"",O214&amp;"_"&amp;P214&amp;".sql","")</f>
        <v>ENT_41_08_ワーク_外来.sql</v>
      </c>
    </row>
    <row r="215" spans="1:63" ht="37.5" customHeight="1">
      <c r="A215" s="34" t="str">
        <f t="shared" ref="A215" si="160">P215</f>
        <v>ワーク_処方データ</v>
      </c>
      <c r="B215" s="148" t="str">
        <f t="shared" si="128"/>
        <v>41</v>
      </c>
      <c r="C215" s="149"/>
      <c r="D215" s="149"/>
      <c r="E215" s="149"/>
      <c r="F215" s="149"/>
      <c r="G215" s="151" t="s">
        <v>559</v>
      </c>
      <c r="H215" s="152"/>
      <c r="I215" s="152"/>
      <c r="J215" s="152"/>
      <c r="K215" s="152"/>
      <c r="L215" s="152"/>
      <c r="M215" s="152"/>
      <c r="N215" s="152"/>
      <c r="O215" s="111" t="str">
        <f t="shared" si="129"/>
        <v>ENT_41_09</v>
      </c>
      <c r="P215" s="154" t="s">
        <v>4201</v>
      </c>
      <c r="Q215" s="155"/>
      <c r="R215" s="155"/>
      <c r="S215" s="155"/>
      <c r="T215" s="155"/>
      <c r="U215" s="155"/>
      <c r="V215" s="155"/>
      <c r="W215" s="155"/>
      <c r="X215" s="155"/>
      <c r="Y215" s="155"/>
      <c r="Z215" s="155"/>
      <c r="AA215" s="155"/>
      <c r="AB215" s="155"/>
      <c r="AC215" s="155"/>
      <c r="AD215" s="156"/>
      <c r="AE215" s="157" t="str">
        <f t="shared" ref="AE215" ca="1" si="161">IFERROR(INDIRECT(P215&amp;"!D8"),"")</f>
        <v>sny_202310_work_shohou</v>
      </c>
      <c r="AF215" s="158"/>
      <c r="AG215" s="158"/>
      <c r="AH215" s="158"/>
      <c r="AI215" s="158"/>
      <c r="AJ215" s="158"/>
      <c r="AK215" s="158"/>
      <c r="AL215" s="159"/>
      <c r="AM215" s="157" t="str">
        <f t="shared" ref="AM215" ca="1" si="162">IFERROR(INDIRECT(P215&amp;"!D9"),"")</f>
        <v>処方データを格納するテーブル</v>
      </c>
      <c r="AN215" s="158"/>
      <c r="AO215" s="158"/>
      <c r="AP215" s="158"/>
      <c r="AQ215" s="158"/>
      <c r="AR215" s="158"/>
      <c r="AS215" s="158"/>
      <c r="AT215" s="158"/>
      <c r="AU215" s="158"/>
      <c r="AV215" s="158"/>
      <c r="AW215" s="158"/>
      <c r="AX215" s="158"/>
      <c r="AY215" s="158"/>
      <c r="AZ215" s="158"/>
      <c r="BA215" s="158"/>
      <c r="BB215" s="158"/>
      <c r="BC215" s="158"/>
      <c r="BD215" s="158"/>
      <c r="BE215" s="158"/>
      <c r="BF215" s="158"/>
      <c r="BG215" s="158"/>
      <c r="BH215" s="158"/>
      <c r="BI215" s="158"/>
      <c r="BJ215" s="160"/>
      <c r="BK215" s="32" t="str">
        <f t="shared" ref="BK215" si="163">IF(P215&lt;&gt;"",O215&amp;"_"&amp;P215&amp;".sql","")</f>
        <v>ENT_41_09_ワーク_処方データ.sql</v>
      </c>
    </row>
    <row r="216" spans="1:63" ht="37.5" customHeight="1">
      <c r="A216" s="34" t="str">
        <f t="shared" ref="A216" si="164">P216</f>
        <v>ワーク_診療行為データ</v>
      </c>
      <c r="B216" s="148" t="str">
        <f t="shared" si="128"/>
        <v>41</v>
      </c>
      <c r="C216" s="149"/>
      <c r="D216" s="149"/>
      <c r="E216" s="149"/>
      <c r="F216" s="149"/>
      <c r="G216" s="151" t="s">
        <v>559</v>
      </c>
      <c r="H216" s="152"/>
      <c r="I216" s="152"/>
      <c r="J216" s="152"/>
      <c r="K216" s="152"/>
      <c r="L216" s="152"/>
      <c r="M216" s="152"/>
      <c r="N216" s="152"/>
      <c r="O216" s="111" t="str">
        <f t="shared" si="129"/>
        <v>ENT_41_10</v>
      </c>
      <c r="P216" s="154" t="s">
        <v>4207</v>
      </c>
      <c r="Q216" s="155"/>
      <c r="R216" s="155"/>
      <c r="S216" s="155"/>
      <c r="T216" s="155"/>
      <c r="U216" s="155"/>
      <c r="V216" s="155"/>
      <c r="W216" s="155"/>
      <c r="X216" s="155"/>
      <c r="Y216" s="155"/>
      <c r="Z216" s="155"/>
      <c r="AA216" s="155"/>
      <c r="AB216" s="155"/>
      <c r="AC216" s="155"/>
      <c r="AD216" s="156"/>
      <c r="AE216" s="157" t="str">
        <f t="shared" ref="AE216" ca="1" si="165">IFERROR(INDIRECT(P216&amp;"!D8"),"")</f>
        <v>sny_202310_work_shinryou_koui</v>
      </c>
      <c r="AF216" s="158"/>
      <c r="AG216" s="158"/>
      <c r="AH216" s="158"/>
      <c r="AI216" s="158"/>
      <c r="AJ216" s="158"/>
      <c r="AK216" s="158"/>
      <c r="AL216" s="159"/>
      <c r="AM216" s="157" t="str">
        <f t="shared" ref="AM216" ca="1" si="166">IFERROR(INDIRECT(P216&amp;"!D9"),"")</f>
        <v>診療行為データを格納するテーブル</v>
      </c>
      <c r="AN216" s="158"/>
      <c r="AO216" s="158"/>
      <c r="AP216" s="158"/>
      <c r="AQ216" s="158"/>
      <c r="AR216" s="158"/>
      <c r="AS216" s="158"/>
      <c r="AT216" s="158"/>
      <c r="AU216" s="158"/>
      <c r="AV216" s="158"/>
      <c r="AW216" s="158"/>
      <c r="AX216" s="158"/>
      <c r="AY216" s="158"/>
      <c r="AZ216" s="158"/>
      <c r="BA216" s="158"/>
      <c r="BB216" s="158"/>
      <c r="BC216" s="158"/>
      <c r="BD216" s="158"/>
      <c r="BE216" s="158"/>
      <c r="BF216" s="158"/>
      <c r="BG216" s="158"/>
      <c r="BH216" s="158"/>
      <c r="BI216" s="158"/>
      <c r="BJ216" s="160"/>
      <c r="BK216" s="32" t="str">
        <f t="shared" ref="BK216" si="167">IF(P216&lt;&gt;"",O216&amp;"_"&amp;P216&amp;".sql","")</f>
        <v>ENT_41_10_ワーク_診療行為データ.sql</v>
      </c>
    </row>
    <row r="217" spans="1:63" ht="37.5" customHeight="1">
      <c r="A217" s="34" t="str">
        <f t="shared" ref="A217" si="168">P217</f>
        <v>ワーク_検体検査データ_スキーマ2</v>
      </c>
      <c r="B217" s="148" t="str">
        <f t="shared" si="128"/>
        <v>41</v>
      </c>
      <c r="C217" s="149"/>
      <c r="D217" s="149"/>
      <c r="E217" s="149"/>
      <c r="F217" s="149"/>
      <c r="G217" s="151" t="s">
        <v>559</v>
      </c>
      <c r="H217" s="152"/>
      <c r="I217" s="152"/>
      <c r="J217" s="152"/>
      <c r="K217" s="152"/>
      <c r="L217" s="152"/>
      <c r="M217" s="152"/>
      <c r="N217" s="152"/>
      <c r="O217" s="111" t="str">
        <f t="shared" si="129"/>
        <v>ENT_41_11</v>
      </c>
      <c r="P217" s="154" t="s">
        <v>4210</v>
      </c>
      <c r="Q217" s="155"/>
      <c r="R217" s="155"/>
      <c r="S217" s="155"/>
      <c r="T217" s="155"/>
      <c r="U217" s="155"/>
      <c r="V217" s="155"/>
      <c r="W217" s="155"/>
      <c r="X217" s="155"/>
      <c r="Y217" s="155"/>
      <c r="Z217" s="155"/>
      <c r="AA217" s="155"/>
      <c r="AB217" s="155"/>
      <c r="AC217" s="155"/>
      <c r="AD217" s="156"/>
      <c r="AE217" s="157" t="str">
        <f t="shared" ref="AE217" ca="1" si="169">IFERROR(INDIRECT(P217&amp;"!D8"),"")</f>
        <v>sny_202310_work_kensa_scm2</v>
      </c>
      <c r="AF217" s="158"/>
      <c r="AG217" s="158"/>
      <c r="AH217" s="158"/>
      <c r="AI217" s="158"/>
      <c r="AJ217" s="158"/>
      <c r="AK217" s="158"/>
      <c r="AL217" s="159"/>
      <c r="AM217" s="157" t="str">
        <f t="shared" ref="AM217" ca="1" si="170">IFERROR(INDIRECT(P217&amp;"!D9"),"")</f>
        <v>MML（スキーマ2）の検体検査データを格納するテーブル</v>
      </c>
      <c r="AN217" s="158"/>
      <c r="AO217" s="158"/>
      <c r="AP217" s="158"/>
      <c r="AQ217" s="158"/>
      <c r="AR217" s="158"/>
      <c r="AS217" s="158"/>
      <c r="AT217" s="158"/>
      <c r="AU217" s="158"/>
      <c r="AV217" s="158"/>
      <c r="AW217" s="158"/>
      <c r="AX217" s="158"/>
      <c r="AY217" s="158"/>
      <c r="AZ217" s="158"/>
      <c r="BA217" s="158"/>
      <c r="BB217" s="158"/>
      <c r="BC217" s="158"/>
      <c r="BD217" s="158"/>
      <c r="BE217" s="158"/>
      <c r="BF217" s="158"/>
      <c r="BG217" s="158"/>
      <c r="BH217" s="158"/>
      <c r="BI217" s="158"/>
      <c r="BJ217" s="160"/>
      <c r="BK217" s="32" t="str">
        <f t="shared" ref="BK217" si="171">IF(P217&lt;&gt;"",O217&amp;"_"&amp;P217&amp;".sql","")</f>
        <v>ENT_41_11_ワーク_検体検査データ_スキーマ2.sql</v>
      </c>
    </row>
    <row r="218" spans="1:63" ht="37.5" customHeight="1">
      <c r="A218" s="34" t="str">
        <f t="shared" ref="A218:A219" si="172">P218</f>
        <v>ワーク_検体検査データ_スキーマ4</v>
      </c>
      <c r="B218" s="148" t="str">
        <f t="shared" ref="B218:B223" si="173">TEXT(41,"00")</f>
        <v>41</v>
      </c>
      <c r="C218" s="149"/>
      <c r="D218" s="149"/>
      <c r="E218" s="149"/>
      <c r="F218" s="149"/>
      <c r="G218" s="151" t="s">
        <v>559</v>
      </c>
      <c r="H218" s="152"/>
      <c r="I218" s="152"/>
      <c r="J218" s="152"/>
      <c r="K218" s="152"/>
      <c r="L218" s="152"/>
      <c r="M218" s="152"/>
      <c r="N218" s="152"/>
      <c r="O218" s="111" t="str">
        <f t="shared" ref="O218:O219" si="174">IF(P218&lt;&gt;"","ENT_"&amp;RIGHT(B218,2)&amp;"_"&amp;TEXT(ROW(O218)-ROW(O$207)+1,"00"),"")</f>
        <v>ENT_41_12</v>
      </c>
      <c r="P218" s="154" t="s">
        <v>4211</v>
      </c>
      <c r="Q218" s="155"/>
      <c r="R218" s="155"/>
      <c r="S218" s="155"/>
      <c r="T218" s="155"/>
      <c r="U218" s="155"/>
      <c r="V218" s="155"/>
      <c r="W218" s="155"/>
      <c r="X218" s="155"/>
      <c r="Y218" s="155"/>
      <c r="Z218" s="155"/>
      <c r="AA218" s="155"/>
      <c r="AB218" s="155"/>
      <c r="AC218" s="155"/>
      <c r="AD218" s="156"/>
      <c r="AE218" s="157" t="str">
        <f t="shared" ref="AE218:AE219" ca="1" si="175">IFERROR(INDIRECT(P218&amp;"!D8"),"")</f>
        <v>sny_202310_work_kensa_scm4</v>
      </c>
      <c r="AF218" s="158"/>
      <c r="AG218" s="158"/>
      <c r="AH218" s="158"/>
      <c r="AI218" s="158"/>
      <c r="AJ218" s="158"/>
      <c r="AK218" s="158"/>
      <c r="AL218" s="159"/>
      <c r="AM218" s="157" t="str">
        <f t="shared" ref="AM218:AM219" ca="1" si="176">IFERROR(INDIRECT(P218&amp;"!D9"),"")</f>
        <v>MML（スキーマ4）の検体検査データを格納するテーブル</v>
      </c>
      <c r="AN218" s="158"/>
      <c r="AO218" s="158"/>
      <c r="AP218" s="158"/>
      <c r="AQ218" s="158"/>
      <c r="AR218" s="158"/>
      <c r="AS218" s="158"/>
      <c r="AT218" s="158"/>
      <c r="AU218" s="158"/>
      <c r="AV218" s="158"/>
      <c r="AW218" s="158"/>
      <c r="AX218" s="158"/>
      <c r="AY218" s="158"/>
      <c r="AZ218" s="158"/>
      <c r="BA218" s="158"/>
      <c r="BB218" s="158"/>
      <c r="BC218" s="158"/>
      <c r="BD218" s="158"/>
      <c r="BE218" s="158"/>
      <c r="BF218" s="158"/>
      <c r="BG218" s="158"/>
      <c r="BH218" s="158"/>
      <c r="BI218" s="158"/>
      <c r="BJ218" s="160"/>
      <c r="BK218" s="32" t="str">
        <f t="shared" ref="BK218:BK219" si="177">IF(P218&lt;&gt;"",O218&amp;"_"&amp;P218&amp;".sql","")</f>
        <v>ENT_41_12_ワーク_検体検査データ_スキーマ4.sql</v>
      </c>
    </row>
    <row r="219" spans="1:63" ht="37.5" customHeight="1">
      <c r="A219" s="34" t="str">
        <f t="shared" si="172"/>
        <v>ワーク_検体検査データ</v>
      </c>
      <c r="B219" s="148" t="str">
        <f t="shared" si="173"/>
        <v>41</v>
      </c>
      <c r="C219" s="149"/>
      <c r="D219" s="149"/>
      <c r="E219" s="149"/>
      <c r="F219" s="149"/>
      <c r="G219" s="151" t="s">
        <v>559</v>
      </c>
      <c r="H219" s="152"/>
      <c r="I219" s="152"/>
      <c r="J219" s="152"/>
      <c r="K219" s="152"/>
      <c r="L219" s="152"/>
      <c r="M219" s="152"/>
      <c r="N219" s="152"/>
      <c r="O219" s="111" t="str">
        <f t="shared" si="174"/>
        <v>ENT_41_13</v>
      </c>
      <c r="P219" s="154" t="s">
        <v>4212</v>
      </c>
      <c r="Q219" s="155"/>
      <c r="R219" s="155"/>
      <c r="S219" s="155"/>
      <c r="T219" s="155"/>
      <c r="U219" s="155"/>
      <c r="V219" s="155"/>
      <c r="W219" s="155"/>
      <c r="X219" s="155"/>
      <c r="Y219" s="155"/>
      <c r="Z219" s="155"/>
      <c r="AA219" s="155"/>
      <c r="AB219" s="155"/>
      <c r="AC219" s="155"/>
      <c r="AD219" s="156"/>
      <c r="AE219" s="157" t="str">
        <f t="shared" ca="1" si="175"/>
        <v>sny_202310_work_kensa</v>
      </c>
      <c r="AF219" s="158"/>
      <c r="AG219" s="158"/>
      <c r="AH219" s="158"/>
      <c r="AI219" s="158"/>
      <c r="AJ219" s="158"/>
      <c r="AK219" s="158"/>
      <c r="AL219" s="159"/>
      <c r="AM219" s="157" t="str">
        <f t="shared" ca="1" si="176"/>
        <v>MMLの検体検査データを格納するテーブル</v>
      </c>
      <c r="AN219" s="158"/>
      <c r="AO219" s="158"/>
      <c r="AP219" s="158"/>
      <c r="AQ219" s="158"/>
      <c r="AR219" s="158"/>
      <c r="AS219" s="158"/>
      <c r="AT219" s="158"/>
      <c r="AU219" s="158"/>
      <c r="AV219" s="158"/>
      <c r="AW219" s="158"/>
      <c r="AX219" s="158"/>
      <c r="AY219" s="158"/>
      <c r="AZ219" s="158"/>
      <c r="BA219" s="158"/>
      <c r="BB219" s="158"/>
      <c r="BC219" s="158"/>
      <c r="BD219" s="158"/>
      <c r="BE219" s="158"/>
      <c r="BF219" s="158"/>
      <c r="BG219" s="158"/>
      <c r="BH219" s="158"/>
      <c r="BI219" s="158"/>
      <c r="BJ219" s="160"/>
      <c r="BK219" s="32" t="str">
        <f t="shared" si="177"/>
        <v>ENT_41_13_ワーク_検体検査データ.sql</v>
      </c>
    </row>
    <row r="220" spans="1:63" ht="37.5" customHeight="1">
      <c r="A220" s="34" t="str">
        <f t="shared" ref="A220" si="178">P220</f>
        <v>ワーク_身長体重データ_DPC</v>
      </c>
      <c r="B220" s="148" t="str">
        <f t="shared" si="173"/>
        <v>41</v>
      </c>
      <c r="C220" s="149"/>
      <c r="D220" s="149"/>
      <c r="E220" s="149"/>
      <c r="F220" s="149"/>
      <c r="G220" s="151" t="s">
        <v>559</v>
      </c>
      <c r="H220" s="152"/>
      <c r="I220" s="152"/>
      <c r="J220" s="152"/>
      <c r="K220" s="152"/>
      <c r="L220" s="152"/>
      <c r="M220" s="152"/>
      <c r="N220" s="152"/>
      <c r="O220" s="111" t="str">
        <f t="shared" ref="O220" si="179">IF(P220&lt;&gt;"","ENT_"&amp;RIGHT(B220,2)&amp;"_"&amp;TEXT(ROW(O220)-ROW(O$207)+1,"00"),"")</f>
        <v>ENT_41_14</v>
      </c>
      <c r="P220" s="154" t="s">
        <v>4220</v>
      </c>
      <c r="Q220" s="155"/>
      <c r="R220" s="155"/>
      <c r="S220" s="155"/>
      <c r="T220" s="155"/>
      <c r="U220" s="155"/>
      <c r="V220" s="155"/>
      <c r="W220" s="155"/>
      <c r="X220" s="155"/>
      <c r="Y220" s="155"/>
      <c r="Z220" s="155"/>
      <c r="AA220" s="155"/>
      <c r="AB220" s="155"/>
      <c r="AC220" s="155"/>
      <c r="AD220" s="156"/>
      <c r="AE220" s="157" t="str">
        <f t="shared" ref="AE220" ca="1" si="180">IFERROR(INDIRECT(P220&amp;"!D8"),"")</f>
        <v>sny_202310_work_height_weight_dpc</v>
      </c>
      <c r="AF220" s="158"/>
      <c r="AG220" s="158"/>
      <c r="AH220" s="158"/>
      <c r="AI220" s="158"/>
      <c r="AJ220" s="158"/>
      <c r="AK220" s="158"/>
      <c r="AL220" s="159"/>
      <c r="AM220" s="157" t="str">
        <f t="shared" ref="AM220" ca="1" si="181">IFERROR(INDIRECT(P220&amp;"!D9"),"")</f>
        <v>DPCの身長体重データを格納するテーブル</v>
      </c>
      <c r="AN220" s="158"/>
      <c r="AO220" s="158"/>
      <c r="AP220" s="158"/>
      <c r="AQ220" s="158"/>
      <c r="AR220" s="158"/>
      <c r="AS220" s="158"/>
      <c r="AT220" s="158"/>
      <c r="AU220" s="158"/>
      <c r="AV220" s="158"/>
      <c r="AW220" s="158"/>
      <c r="AX220" s="158"/>
      <c r="AY220" s="158"/>
      <c r="AZ220" s="158"/>
      <c r="BA220" s="158"/>
      <c r="BB220" s="158"/>
      <c r="BC220" s="158"/>
      <c r="BD220" s="158"/>
      <c r="BE220" s="158"/>
      <c r="BF220" s="158"/>
      <c r="BG220" s="158"/>
      <c r="BH220" s="158"/>
      <c r="BI220" s="158"/>
      <c r="BJ220" s="160"/>
      <c r="BK220" s="32" t="str">
        <f t="shared" ref="BK220" si="182">IF(P220&lt;&gt;"",O220&amp;"_"&amp;P220&amp;".sql","")</f>
        <v>ENT_41_14_ワーク_身長体重データ_DPC.sql</v>
      </c>
    </row>
    <row r="221" spans="1:63" ht="37.5" customHeight="1">
      <c r="A221" s="34" t="str">
        <f t="shared" ref="A221" si="183">P221</f>
        <v>ワーク_身長体重データ_MML</v>
      </c>
      <c r="B221" s="148" t="str">
        <f t="shared" si="173"/>
        <v>41</v>
      </c>
      <c r="C221" s="149"/>
      <c r="D221" s="149"/>
      <c r="E221" s="149"/>
      <c r="F221" s="149"/>
      <c r="G221" s="151" t="s">
        <v>559</v>
      </c>
      <c r="H221" s="152"/>
      <c r="I221" s="152"/>
      <c r="J221" s="152"/>
      <c r="K221" s="152"/>
      <c r="L221" s="152"/>
      <c r="M221" s="152"/>
      <c r="N221" s="152"/>
      <c r="O221" s="111" t="str">
        <f t="shared" ref="O221" si="184">IF(P221&lt;&gt;"","ENT_"&amp;RIGHT(B221,2)&amp;"_"&amp;TEXT(ROW(O221)-ROW(O$207)+1,"00"),"")</f>
        <v>ENT_41_15</v>
      </c>
      <c r="P221" s="154" t="s">
        <v>4221</v>
      </c>
      <c r="Q221" s="155"/>
      <c r="R221" s="155"/>
      <c r="S221" s="155"/>
      <c r="T221" s="155"/>
      <c r="U221" s="155"/>
      <c r="V221" s="155"/>
      <c r="W221" s="155"/>
      <c r="X221" s="155"/>
      <c r="Y221" s="155"/>
      <c r="Z221" s="155"/>
      <c r="AA221" s="155"/>
      <c r="AB221" s="155"/>
      <c r="AC221" s="155"/>
      <c r="AD221" s="156"/>
      <c r="AE221" s="157" t="str">
        <f t="shared" ref="AE221" ca="1" si="185">IFERROR(INDIRECT(P221&amp;"!D8"),"")</f>
        <v>sny_202310_work_height_weight_mml</v>
      </c>
      <c r="AF221" s="158"/>
      <c r="AG221" s="158"/>
      <c r="AH221" s="158"/>
      <c r="AI221" s="158"/>
      <c r="AJ221" s="158"/>
      <c r="AK221" s="158"/>
      <c r="AL221" s="159"/>
      <c r="AM221" s="157" t="str">
        <f t="shared" ref="AM221" ca="1" si="186">IFERROR(INDIRECT(P221&amp;"!D9"),"")</f>
        <v>MMLの身長体重データを格納するテーブル</v>
      </c>
      <c r="AN221" s="158"/>
      <c r="AO221" s="158"/>
      <c r="AP221" s="158"/>
      <c r="AQ221" s="158"/>
      <c r="AR221" s="158"/>
      <c r="AS221" s="158"/>
      <c r="AT221" s="158"/>
      <c r="AU221" s="158"/>
      <c r="AV221" s="158"/>
      <c r="AW221" s="158"/>
      <c r="AX221" s="158"/>
      <c r="AY221" s="158"/>
      <c r="AZ221" s="158"/>
      <c r="BA221" s="158"/>
      <c r="BB221" s="158"/>
      <c r="BC221" s="158"/>
      <c r="BD221" s="158"/>
      <c r="BE221" s="158"/>
      <c r="BF221" s="158"/>
      <c r="BG221" s="158"/>
      <c r="BH221" s="158"/>
      <c r="BI221" s="158"/>
      <c r="BJ221" s="160"/>
      <c r="BK221" s="32" t="str">
        <f t="shared" ref="BK221" si="187">IF(P221&lt;&gt;"",O221&amp;"_"&amp;P221&amp;".sql","")</f>
        <v>ENT_41_15_ワーク_身長体重データ_MML.sql</v>
      </c>
    </row>
    <row r="222" spans="1:63" ht="37.5" customHeight="1">
      <c r="A222" s="34" t="str">
        <f t="shared" ref="A222" si="188">P222</f>
        <v>ワーク_身長体重データ</v>
      </c>
      <c r="B222" s="148" t="str">
        <f>TEXT(41,"00")</f>
        <v>41</v>
      </c>
      <c r="C222" s="149"/>
      <c r="D222" s="149"/>
      <c r="E222" s="149"/>
      <c r="F222" s="149"/>
      <c r="G222" s="151" t="s">
        <v>559</v>
      </c>
      <c r="H222" s="152"/>
      <c r="I222" s="152"/>
      <c r="J222" s="152"/>
      <c r="K222" s="152"/>
      <c r="L222" s="152"/>
      <c r="M222" s="152"/>
      <c r="N222" s="152"/>
      <c r="O222" s="111" t="str">
        <f t="shared" ref="O222" si="189">IF(P222&lt;&gt;"","ENT_"&amp;RIGHT(B222,2)&amp;"_"&amp;TEXT(ROW(O222)-ROW(O$207)+1,"00"),"")</f>
        <v>ENT_41_16</v>
      </c>
      <c r="P222" s="154" t="s">
        <v>4222</v>
      </c>
      <c r="Q222" s="155"/>
      <c r="R222" s="155"/>
      <c r="S222" s="155"/>
      <c r="T222" s="155"/>
      <c r="U222" s="155"/>
      <c r="V222" s="155"/>
      <c r="W222" s="155"/>
      <c r="X222" s="155"/>
      <c r="Y222" s="155"/>
      <c r="Z222" s="155"/>
      <c r="AA222" s="155"/>
      <c r="AB222" s="155"/>
      <c r="AC222" s="155"/>
      <c r="AD222" s="156"/>
      <c r="AE222" s="157" t="str">
        <f t="shared" ref="AE222" ca="1" si="190">IFERROR(INDIRECT(P222&amp;"!D8"),"")</f>
        <v>sny_202310_work_height_weight</v>
      </c>
      <c r="AF222" s="158"/>
      <c r="AG222" s="158"/>
      <c r="AH222" s="158"/>
      <c r="AI222" s="158"/>
      <c r="AJ222" s="158"/>
      <c r="AK222" s="158"/>
      <c r="AL222" s="159"/>
      <c r="AM222" s="157" t="str">
        <f t="shared" ref="AM222" ca="1" si="191">IFERROR(INDIRECT(P222&amp;"!D9"),"")</f>
        <v>DPC、MMLの身長体重データを格納するテーブル</v>
      </c>
      <c r="AN222" s="158"/>
      <c r="AO222" s="158"/>
      <c r="AP222" s="158"/>
      <c r="AQ222" s="158"/>
      <c r="AR222" s="158"/>
      <c r="AS222" s="158"/>
      <c r="AT222" s="158"/>
      <c r="AU222" s="158"/>
      <c r="AV222" s="158"/>
      <c r="AW222" s="158"/>
      <c r="AX222" s="158"/>
      <c r="AY222" s="158"/>
      <c r="AZ222" s="158"/>
      <c r="BA222" s="158"/>
      <c r="BB222" s="158"/>
      <c r="BC222" s="158"/>
      <c r="BD222" s="158"/>
      <c r="BE222" s="158"/>
      <c r="BF222" s="158"/>
      <c r="BG222" s="158"/>
      <c r="BH222" s="158"/>
      <c r="BI222" s="158"/>
      <c r="BJ222" s="160"/>
      <c r="BK222" s="32" t="str">
        <f t="shared" ref="BK222" si="192">IF(P222&lt;&gt;"",O222&amp;"_"&amp;P222&amp;".sql","")</f>
        <v>ENT_41_16_ワーク_身長体重データ.sql</v>
      </c>
    </row>
    <row r="223" spans="1:63" ht="37.5" customHeight="1">
      <c r="A223" s="34" t="str">
        <f t="shared" ref="A223" si="193">P223</f>
        <v>ワーク_テキスト情報_一時</v>
      </c>
      <c r="B223" s="148" t="str">
        <f t="shared" si="173"/>
        <v>41</v>
      </c>
      <c r="C223" s="149"/>
      <c r="D223" s="149"/>
      <c r="E223" s="149"/>
      <c r="F223" s="149"/>
      <c r="G223" s="151" t="s">
        <v>559</v>
      </c>
      <c r="H223" s="152"/>
      <c r="I223" s="152"/>
      <c r="J223" s="152"/>
      <c r="K223" s="152"/>
      <c r="L223" s="152"/>
      <c r="M223" s="152"/>
      <c r="N223" s="152"/>
      <c r="O223" s="111" t="str">
        <f t="shared" ref="O223" si="194">IF(P223&lt;&gt;"","ENT_"&amp;RIGHT(B223,2)&amp;"_"&amp;TEXT(ROW(O223)-ROW(O$207)+1,"00"),"")</f>
        <v>ENT_41_17</v>
      </c>
      <c r="P223" s="154" t="s">
        <v>4223</v>
      </c>
      <c r="Q223" s="155"/>
      <c r="R223" s="155"/>
      <c r="S223" s="155"/>
      <c r="T223" s="155"/>
      <c r="U223" s="155"/>
      <c r="V223" s="155"/>
      <c r="W223" s="155"/>
      <c r="X223" s="155"/>
      <c r="Y223" s="155"/>
      <c r="Z223" s="155"/>
      <c r="AA223" s="155"/>
      <c r="AB223" s="155"/>
      <c r="AC223" s="155"/>
      <c r="AD223" s="156"/>
      <c r="AE223" s="157" t="str">
        <f t="shared" ref="AE223" ca="1" si="195">IFERROR(INDIRECT(P223&amp;"!D8"),"")</f>
        <v>sny_202310_work_text_temp</v>
      </c>
      <c r="AF223" s="158"/>
      <c r="AG223" s="158"/>
      <c r="AH223" s="158"/>
      <c r="AI223" s="158"/>
      <c r="AJ223" s="158"/>
      <c r="AK223" s="158"/>
      <c r="AL223" s="159"/>
      <c r="AM223" s="157" t="str">
        <f t="shared" ref="AM223" ca="1" si="196">IFERROR(INDIRECT(P223&amp;"!D9"),"")</f>
        <v>MMLのテキストデータを格納するテーブル</v>
      </c>
      <c r="AN223" s="158"/>
      <c r="AO223" s="158"/>
      <c r="AP223" s="158"/>
      <c r="AQ223" s="158"/>
      <c r="AR223" s="158"/>
      <c r="AS223" s="158"/>
      <c r="AT223" s="158"/>
      <c r="AU223" s="158"/>
      <c r="AV223" s="158"/>
      <c r="AW223" s="158"/>
      <c r="AX223" s="158"/>
      <c r="AY223" s="158"/>
      <c r="AZ223" s="158"/>
      <c r="BA223" s="158"/>
      <c r="BB223" s="158"/>
      <c r="BC223" s="158"/>
      <c r="BD223" s="158"/>
      <c r="BE223" s="158"/>
      <c r="BF223" s="158"/>
      <c r="BG223" s="158"/>
      <c r="BH223" s="158"/>
      <c r="BI223" s="158"/>
      <c r="BJ223" s="160"/>
      <c r="BK223" s="32" t="str">
        <f t="shared" ref="BK223" si="197">IF(P223&lt;&gt;"",O223&amp;"_"&amp;P223&amp;".sql","")</f>
        <v>ENT_41_17_ワーク_テキスト情報_一時.sql</v>
      </c>
    </row>
    <row r="224" spans="1:63" ht="37.5" customHeight="1">
      <c r="A224" s="34" t="str">
        <f t="shared" ref="A224" si="198">P224</f>
        <v>ワーク_テキスト情報</v>
      </c>
      <c r="B224" s="148" t="str">
        <f>TEXT(41,"00")</f>
        <v>41</v>
      </c>
      <c r="C224" s="149"/>
      <c r="D224" s="149"/>
      <c r="E224" s="149"/>
      <c r="F224" s="150"/>
      <c r="G224" s="151" t="s">
        <v>4101</v>
      </c>
      <c r="H224" s="152"/>
      <c r="I224" s="152"/>
      <c r="J224" s="152"/>
      <c r="K224" s="152"/>
      <c r="L224" s="152"/>
      <c r="M224" s="152"/>
      <c r="N224" s="153"/>
      <c r="O224" s="79" t="str">
        <f>IF(P224&lt;&gt;"","ENT_"&amp;RIGHT(B224,2)&amp;"_"&amp;TEXT(ROW(O224)-ROW(O$207)+1,"00"),"")</f>
        <v>ENT_41_18</v>
      </c>
      <c r="P224" s="154" t="s">
        <v>4224</v>
      </c>
      <c r="Q224" s="155"/>
      <c r="R224" s="155"/>
      <c r="S224" s="155"/>
      <c r="T224" s="155"/>
      <c r="U224" s="155"/>
      <c r="V224" s="155"/>
      <c r="W224" s="155"/>
      <c r="X224" s="155"/>
      <c r="Y224" s="155"/>
      <c r="Z224" s="155"/>
      <c r="AA224" s="155"/>
      <c r="AB224" s="155"/>
      <c r="AC224" s="155"/>
      <c r="AD224" s="156"/>
      <c r="AE224" s="157" t="str">
        <f t="shared" ref="AE224" ca="1" si="199">IFERROR(INDIRECT(P224&amp;"!D8"),"")</f>
        <v>sny_202310_work_text</v>
      </c>
      <c r="AF224" s="158"/>
      <c r="AG224" s="158"/>
      <c r="AH224" s="158"/>
      <c r="AI224" s="158"/>
      <c r="AJ224" s="158"/>
      <c r="AK224" s="158"/>
      <c r="AL224" s="159"/>
      <c r="AM224" s="157" t="str">
        <f t="shared" ref="AM224" ca="1" si="200">IFERROR(INDIRECT(P224&amp;"!D9"),"")</f>
        <v>MMLのテキストデータを格納するテーブル</v>
      </c>
      <c r="AN224" s="158"/>
      <c r="AO224" s="158"/>
      <c r="AP224" s="158"/>
      <c r="AQ224" s="158"/>
      <c r="AR224" s="158"/>
      <c r="AS224" s="158"/>
      <c r="AT224" s="158"/>
      <c r="AU224" s="158"/>
      <c r="AV224" s="158"/>
      <c r="AW224" s="158"/>
      <c r="AX224" s="158"/>
      <c r="AY224" s="158"/>
      <c r="AZ224" s="158"/>
      <c r="BA224" s="158"/>
      <c r="BB224" s="158"/>
      <c r="BC224" s="158"/>
      <c r="BD224" s="158"/>
      <c r="BE224" s="158"/>
      <c r="BF224" s="158"/>
      <c r="BG224" s="158"/>
      <c r="BH224" s="158"/>
      <c r="BI224" s="158"/>
      <c r="BJ224" s="160"/>
      <c r="BK224" s="32" t="str">
        <f t="shared" ref="BK224" si="201">IF(P224&lt;&gt;"",O224&amp;"_"&amp;P224&amp;".sql","")</f>
        <v>ENT_41_18_ワーク_テキスト情報.sql</v>
      </c>
    </row>
    <row r="225" spans="1:63" ht="37.5" customHeight="1">
      <c r="A225" s="34" t="str">
        <f t="shared" ref="A225" si="202">P225</f>
        <v>ワーク_観察期間</v>
      </c>
      <c r="B225" s="148" t="str">
        <f>TEXT(41,"00")</f>
        <v>41</v>
      </c>
      <c r="C225" s="149"/>
      <c r="D225" s="149"/>
      <c r="E225" s="149"/>
      <c r="F225" s="150"/>
      <c r="G225" s="151" t="s">
        <v>4101</v>
      </c>
      <c r="H225" s="152"/>
      <c r="I225" s="152"/>
      <c r="J225" s="152"/>
      <c r="K225" s="152"/>
      <c r="L225" s="152"/>
      <c r="M225" s="152"/>
      <c r="N225" s="153"/>
      <c r="O225" s="79" t="str">
        <f>IF(P225&lt;&gt;"","ENT_"&amp;RIGHT(B225,2)&amp;"_"&amp;TEXT(ROW(O225)-ROW(O$207)+1,"00"),"")</f>
        <v>ENT_41_19</v>
      </c>
      <c r="P225" s="154" t="s">
        <v>4291</v>
      </c>
      <c r="Q225" s="155"/>
      <c r="R225" s="155"/>
      <c r="S225" s="155"/>
      <c r="T225" s="155"/>
      <c r="U225" s="155"/>
      <c r="V225" s="155"/>
      <c r="W225" s="155"/>
      <c r="X225" s="155"/>
      <c r="Y225" s="155"/>
      <c r="Z225" s="155"/>
      <c r="AA225" s="155"/>
      <c r="AB225" s="155"/>
      <c r="AC225" s="155"/>
      <c r="AD225" s="156"/>
      <c r="AE225" s="157" t="str">
        <f t="shared" ref="AE225" ca="1" si="203">IFERROR(INDIRECT(P225&amp;"!D8"),"")</f>
        <v>sny_202310_work_kansatsu_term</v>
      </c>
      <c r="AF225" s="158"/>
      <c r="AG225" s="158"/>
      <c r="AH225" s="158"/>
      <c r="AI225" s="158"/>
      <c r="AJ225" s="158"/>
      <c r="AK225" s="158"/>
      <c r="AL225" s="159"/>
      <c r="AM225" s="157" t="str">
        <f t="shared" ref="AM225" ca="1" si="204">IFERROR(INDIRECT(P225&amp;"!D9"),"")</f>
        <v>観察期間データを格納するテーブル</v>
      </c>
      <c r="AN225" s="158"/>
      <c r="AO225" s="158"/>
      <c r="AP225" s="158"/>
      <c r="AQ225" s="158"/>
      <c r="AR225" s="158"/>
      <c r="AS225" s="158"/>
      <c r="AT225" s="158"/>
      <c r="AU225" s="158"/>
      <c r="AV225" s="158"/>
      <c r="AW225" s="158"/>
      <c r="AX225" s="158"/>
      <c r="AY225" s="158"/>
      <c r="AZ225" s="158"/>
      <c r="BA225" s="158"/>
      <c r="BB225" s="158"/>
      <c r="BC225" s="158"/>
      <c r="BD225" s="158"/>
      <c r="BE225" s="158"/>
      <c r="BF225" s="158"/>
      <c r="BG225" s="158"/>
      <c r="BH225" s="158"/>
      <c r="BI225" s="158"/>
      <c r="BJ225" s="160"/>
      <c r="BK225" s="32" t="str">
        <f t="shared" ref="BK225" si="205">IF(P225&lt;&gt;"",O225&amp;"_"&amp;P225&amp;".sql","")</f>
        <v>ENT_41_19_ワーク_観察期間.sql</v>
      </c>
    </row>
    <row r="226" spans="1:63" ht="37.5" customHeight="1">
      <c r="A226" s="34" t="str">
        <f t="shared" si="78"/>
        <v>セレクト_疾患データ_大区分</v>
      </c>
      <c r="B226" s="168" t="str">
        <f>TEXT(51,"00")</f>
        <v>51</v>
      </c>
      <c r="C226" s="169"/>
      <c r="D226" s="169"/>
      <c r="E226" s="169"/>
      <c r="F226" s="170"/>
      <c r="G226" s="171" t="s">
        <v>560</v>
      </c>
      <c r="H226" s="172"/>
      <c r="I226" s="172"/>
      <c r="J226" s="172"/>
      <c r="K226" s="172"/>
      <c r="L226" s="172"/>
      <c r="M226" s="172"/>
      <c r="N226" s="173"/>
      <c r="O226" s="79" t="str">
        <f>IF(P226&lt;&gt;"","ENT_"&amp;RIGHT(B226,2)&amp;"_"&amp;TEXT(ROW(O226)-ROW(O$226)+1,"00"),"")</f>
        <v>ENT_51_01</v>
      </c>
      <c r="P226" s="154" t="s">
        <v>898</v>
      </c>
      <c r="Q226" s="155"/>
      <c r="R226" s="155"/>
      <c r="S226" s="155"/>
      <c r="T226" s="155"/>
      <c r="U226" s="155"/>
      <c r="V226" s="155"/>
      <c r="W226" s="155"/>
      <c r="X226" s="155"/>
      <c r="Y226" s="155"/>
      <c r="Z226" s="155"/>
      <c r="AA226" s="155"/>
      <c r="AB226" s="155"/>
      <c r="AC226" s="155"/>
      <c r="AD226" s="156"/>
      <c r="AE226" s="157" t="str">
        <f t="shared" ca="1" si="130"/>
        <v/>
      </c>
      <c r="AF226" s="158"/>
      <c r="AG226" s="158"/>
      <c r="AH226" s="158"/>
      <c r="AI226" s="158"/>
      <c r="AJ226" s="158"/>
      <c r="AK226" s="158"/>
      <c r="AL226" s="159"/>
      <c r="AM226" s="157" t="str">
        <f t="shared" ca="1" si="131"/>
        <v/>
      </c>
      <c r="AN226" s="158"/>
      <c r="AO226" s="158"/>
      <c r="AP226" s="158"/>
      <c r="AQ226" s="158"/>
      <c r="AR226" s="158"/>
      <c r="AS226" s="158"/>
      <c r="AT226" s="158"/>
      <c r="AU226" s="158"/>
      <c r="AV226" s="158"/>
      <c r="AW226" s="158"/>
      <c r="AX226" s="158"/>
      <c r="AY226" s="158"/>
      <c r="AZ226" s="158"/>
      <c r="BA226" s="158"/>
      <c r="BB226" s="158"/>
      <c r="BC226" s="158"/>
      <c r="BD226" s="158"/>
      <c r="BE226" s="158"/>
      <c r="BF226" s="158"/>
      <c r="BG226" s="158"/>
      <c r="BH226" s="158"/>
      <c r="BI226" s="158"/>
      <c r="BJ226" s="160"/>
      <c r="BK226" s="32" t="str">
        <f t="shared" si="43"/>
        <v>ENT_51_01_セレクト_疾患データ_大区分.sql</v>
      </c>
    </row>
    <row r="227" spans="1:63" ht="37.5" customHeight="1">
      <c r="A227" s="34" t="str">
        <f t="shared" ref="A227" si="206">P227</f>
        <v>セレクト_疾患データ_小区分</v>
      </c>
      <c r="B227" s="148" t="str">
        <f>TEXT(51,"00")</f>
        <v>51</v>
      </c>
      <c r="C227" s="149"/>
      <c r="D227" s="149"/>
      <c r="E227" s="149"/>
      <c r="F227" s="150"/>
      <c r="G227" s="151" t="s">
        <v>560</v>
      </c>
      <c r="H227" s="152"/>
      <c r="I227" s="152"/>
      <c r="J227" s="152"/>
      <c r="K227" s="152"/>
      <c r="L227" s="152"/>
      <c r="M227" s="152"/>
      <c r="N227" s="153"/>
      <c r="O227" s="79" t="str">
        <f>IF(P227&lt;&gt;"","ENT_"&amp;RIGHT(B227,2)&amp;"_"&amp;TEXT(ROW(O227)-ROW(O$226)+1,"00"),"")</f>
        <v>ENT_51_02</v>
      </c>
      <c r="P227" s="165" t="s">
        <v>899</v>
      </c>
      <c r="Q227" s="166"/>
      <c r="R227" s="166"/>
      <c r="S227" s="166"/>
      <c r="T227" s="166"/>
      <c r="U227" s="166"/>
      <c r="V227" s="166"/>
      <c r="W227" s="166"/>
      <c r="X227" s="166"/>
      <c r="Y227" s="166"/>
      <c r="Z227" s="166"/>
      <c r="AA227" s="166"/>
      <c r="AB227" s="166"/>
      <c r="AC227" s="166"/>
      <c r="AD227" s="167"/>
      <c r="AE227" s="161" t="str">
        <f t="shared" ref="AE227" ca="1" si="207">IFERROR(INDIRECT(P227&amp;"!D8"),"")</f>
        <v/>
      </c>
      <c r="AF227" s="162"/>
      <c r="AG227" s="162"/>
      <c r="AH227" s="162"/>
      <c r="AI227" s="162"/>
      <c r="AJ227" s="162"/>
      <c r="AK227" s="162"/>
      <c r="AL227" s="163"/>
      <c r="AM227" s="161" t="str">
        <f t="shared" ref="AM227" ca="1" si="208">IFERROR(INDIRECT(P227&amp;"!D9"),"")</f>
        <v/>
      </c>
      <c r="AN227" s="162"/>
      <c r="AO227" s="162"/>
      <c r="AP227" s="162"/>
      <c r="AQ227" s="162"/>
      <c r="AR227" s="162"/>
      <c r="AS227" s="162"/>
      <c r="AT227" s="162"/>
      <c r="AU227" s="162"/>
      <c r="AV227" s="162"/>
      <c r="AW227" s="162"/>
      <c r="AX227" s="162"/>
      <c r="AY227" s="162"/>
      <c r="AZ227" s="162"/>
      <c r="BA227" s="162"/>
      <c r="BB227" s="162"/>
      <c r="BC227" s="162"/>
      <c r="BD227" s="162"/>
      <c r="BE227" s="162"/>
      <c r="BF227" s="162"/>
      <c r="BG227" s="162"/>
      <c r="BH227" s="162"/>
      <c r="BI227" s="162"/>
      <c r="BJ227" s="164"/>
      <c r="BK227" s="32" t="str">
        <f t="shared" si="43"/>
        <v>ENT_51_02_セレクト_疾患データ_小区分.sql</v>
      </c>
    </row>
    <row r="228" spans="1:63" ht="37.5" customHeight="1" thickBot="1">
      <c r="A228" s="34">
        <f t="shared" si="78"/>
        <v>0</v>
      </c>
      <c r="B228" s="180" t="str">
        <f>TEXT(51,"00")</f>
        <v>51</v>
      </c>
      <c r="C228" s="181"/>
      <c r="D228" s="181"/>
      <c r="E228" s="181"/>
      <c r="F228" s="182"/>
      <c r="G228" s="183" t="s">
        <v>560</v>
      </c>
      <c r="H228" s="184"/>
      <c r="I228" s="184"/>
      <c r="J228" s="184"/>
      <c r="K228" s="184"/>
      <c r="L228" s="184"/>
      <c r="M228" s="184"/>
      <c r="N228" s="185"/>
      <c r="O228" s="80" t="str">
        <f>IF(P228&lt;&gt;"","ENT_"&amp;RIGHT(B228,2)&amp;"_"&amp;TEXT(ROW(O228)-ROW(O$226)+1,"00"),"")</f>
        <v/>
      </c>
      <c r="P228" s="186"/>
      <c r="Q228" s="187"/>
      <c r="R228" s="187"/>
      <c r="S228" s="187"/>
      <c r="T228" s="187"/>
      <c r="U228" s="187"/>
      <c r="V228" s="187"/>
      <c r="W228" s="187"/>
      <c r="X228" s="187"/>
      <c r="Y228" s="187"/>
      <c r="Z228" s="187"/>
      <c r="AA228" s="187"/>
      <c r="AB228" s="187"/>
      <c r="AC228" s="187"/>
      <c r="AD228" s="188"/>
      <c r="AE228" s="189" t="str">
        <f t="shared" ca="1" si="130"/>
        <v/>
      </c>
      <c r="AF228" s="190"/>
      <c r="AG228" s="190"/>
      <c r="AH228" s="190"/>
      <c r="AI228" s="190"/>
      <c r="AJ228" s="190"/>
      <c r="AK228" s="190"/>
      <c r="AL228" s="191"/>
      <c r="AM228" s="189" t="str">
        <f t="shared" ca="1" si="131"/>
        <v/>
      </c>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2"/>
      <c r="BK228" s="32" t="str">
        <f t="shared" si="43"/>
        <v/>
      </c>
    </row>
    <row r="232" spans="1:63" ht="13.5" customHeight="1"/>
    <row r="233" spans="1:63" ht="13.5" customHeight="1"/>
    <row r="234" spans="1:63" ht="13.5" customHeight="1"/>
    <row r="235" spans="1:63" ht="13.5" customHeight="1"/>
    <row r="236" spans="1:63" ht="13.5" customHeight="1"/>
    <row r="237" spans="1:63" ht="13.5" customHeight="1"/>
    <row r="238" spans="1:63" ht="13.5" customHeight="1"/>
    <row r="239" spans="1:63" ht="13.5" customHeight="1"/>
  </sheetData>
  <mergeCells count="1132">
    <mergeCell ref="B208:F208"/>
    <mergeCell ref="G208:N208"/>
    <mergeCell ref="P208:AD208"/>
    <mergeCell ref="AE208:AL208"/>
    <mergeCell ref="AM208:BJ208"/>
    <mergeCell ref="B224:F224"/>
    <mergeCell ref="G224:N224"/>
    <mergeCell ref="P224:AD224"/>
    <mergeCell ref="AE224:AL224"/>
    <mergeCell ref="AM224:BJ224"/>
    <mergeCell ref="B203:F203"/>
    <mergeCell ref="G203:N203"/>
    <mergeCell ref="P203:AD203"/>
    <mergeCell ref="AE203:AL203"/>
    <mergeCell ref="AM203:BJ203"/>
    <mergeCell ref="B204:F204"/>
    <mergeCell ref="G204:N204"/>
    <mergeCell ref="P204:AD204"/>
    <mergeCell ref="AE204:AL204"/>
    <mergeCell ref="AM204:BJ204"/>
    <mergeCell ref="B205:F205"/>
    <mergeCell ref="G205:N205"/>
    <mergeCell ref="P205:AD205"/>
    <mergeCell ref="AE205:AL205"/>
    <mergeCell ref="AM205:BJ205"/>
    <mergeCell ref="B206:F206"/>
    <mergeCell ref="G206:N206"/>
    <mergeCell ref="P206:AD206"/>
    <mergeCell ref="AE206:AL206"/>
    <mergeCell ref="AM206:BJ206"/>
    <mergeCell ref="B209:F209"/>
    <mergeCell ref="G209:N209"/>
    <mergeCell ref="AE177:AL177"/>
    <mergeCell ref="AM177:BJ177"/>
    <mergeCell ref="B178:F178"/>
    <mergeCell ref="G178:N178"/>
    <mergeCell ref="P178:AD178"/>
    <mergeCell ref="AE178:AL178"/>
    <mergeCell ref="AM178:BJ178"/>
    <mergeCell ref="B175:F175"/>
    <mergeCell ref="G175:N175"/>
    <mergeCell ref="P175:AD175"/>
    <mergeCell ref="AE175:AL175"/>
    <mergeCell ref="AM175:BJ175"/>
    <mergeCell ref="B176:F176"/>
    <mergeCell ref="G176:N176"/>
    <mergeCell ref="P176:AD176"/>
    <mergeCell ref="AE176:AL176"/>
    <mergeCell ref="AM176:BJ176"/>
    <mergeCell ref="B202:F202"/>
    <mergeCell ref="G202:N202"/>
    <mergeCell ref="P202:AD202"/>
    <mergeCell ref="AE202:AL202"/>
    <mergeCell ref="AM202:BJ202"/>
    <mergeCell ref="B174:F174"/>
    <mergeCell ref="G174:N174"/>
    <mergeCell ref="P174:AD174"/>
    <mergeCell ref="AE174:AL174"/>
    <mergeCell ref="AM174:BJ174"/>
    <mergeCell ref="AE155:AL155"/>
    <mergeCell ref="AM155:BJ155"/>
    <mergeCell ref="B163:F163"/>
    <mergeCell ref="G163:N163"/>
    <mergeCell ref="P163:AD163"/>
    <mergeCell ref="AE163:AL163"/>
    <mergeCell ref="AM163:BJ163"/>
    <mergeCell ref="B164:F164"/>
    <mergeCell ref="G164:N164"/>
    <mergeCell ref="P164:AD164"/>
    <mergeCell ref="B160:F160"/>
    <mergeCell ref="G160:N160"/>
    <mergeCell ref="AE162:AL162"/>
    <mergeCell ref="AE167:AL167"/>
    <mergeCell ref="AE161:AL161"/>
    <mergeCell ref="AE166:AL166"/>
    <mergeCell ref="G158:N158"/>
    <mergeCell ref="AE164:AL164"/>
    <mergeCell ref="AM164:BJ164"/>
    <mergeCell ref="AE160:AL160"/>
    <mergeCell ref="B177:F177"/>
    <mergeCell ref="G177:N177"/>
    <mergeCell ref="G155:N155"/>
    <mergeCell ref="P155:AD155"/>
    <mergeCell ref="B158:F158"/>
    <mergeCell ref="B87:F87"/>
    <mergeCell ref="B88:F88"/>
    <mergeCell ref="B89:F89"/>
    <mergeCell ref="P133:AD133"/>
    <mergeCell ref="P132:AD132"/>
    <mergeCell ref="AE103:AL103"/>
    <mergeCell ref="G154:N154"/>
    <mergeCell ref="P154:AD154"/>
    <mergeCell ref="AE154:AL154"/>
    <mergeCell ref="AM154:BJ154"/>
    <mergeCell ref="B155:F155"/>
    <mergeCell ref="P93:AD93"/>
    <mergeCell ref="AE93:AL93"/>
    <mergeCell ref="AM93:BJ93"/>
    <mergeCell ref="P94:AD94"/>
    <mergeCell ref="AE94:AL94"/>
    <mergeCell ref="P156:AD156"/>
    <mergeCell ref="AE156:AL156"/>
    <mergeCell ref="B154:F154"/>
    <mergeCell ref="G126:N126"/>
    <mergeCell ref="B122:F122"/>
    <mergeCell ref="B123:F123"/>
    <mergeCell ref="B124:F124"/>
    <mergeCell ref="B125:F125"/>
    <mergeCell ref="B126:F126"/>
    <mergeCell ref="B114:F114"/>
    <mergeCell ref="G114:N114"/>
    <mergeCell ref="AM145:BJ145"/>
    <mergeCell ref="P143:AD143"/>
    <mergeCell ref="G75:N75"/>
    <mergeCell ref="P75:AD75"/>
    <mergeCell ref="AE75:AL75"/>
    <mergeCell ref="AM75:BJ75"/>
    <mergeCell ref="B76:F76"/>
    <mergeCell ref="G76:N76"/>
    <mergeCell ref="P76:AD76"/>
    <mergeCell ref="AE76:AL76"/>
    <mergeCell ref="AM76:BJ76"/>
    <mergeCell ref="P81:AD81"/>
    <mergeCell ref="AE81:AL81"/>
    <mergeCell ref="AM81:BJ81"/>
    <mergeCell ref="P82:AD82"/>
    <mergeCell ref="AE82:AL82"/>
    <mergeCell ref="AM82:BJ82"/>
    <mergeCell ref="P83:AD83"/>
    <mergeCell ref="AE83:AL83"/>
    <mergeCell ref="AM83:BJ83"/>
    <mergeCell ref="P80:AD80"/>
    <mergeCell ref="AE80:AL80"/>
    <mergeCell ref="AM80:BJ80"/>
    <mergeCell ref="P159:AD159"/>
    <mergeCell ref="P104:AD104"/>
    <mergeCell ref="AE104:AL104"/>
    <mergeCell ref="P96:AD96"/>
    <mergeCell ref="AE96:AL96"/>
    <mergeCell ref="AM96:BJ96"/>
    <mergeCell ref="P97:AD97"/>
    <mergeCell ref="AE97:AL97"/>
    <mergeCell ref="AM97:BJ97"/>
    <mergeCell ref="P100:AD100"/>
    <mergeCell ref="AE100:AL100"/>
    <mergeCell ref="AM100:BJ100"/>
    <mergeCell ref="P101:AD101"/>
    <mergeCell ref="AE101:AL101"/>
    <mergeCell ref="AM101:BJ101"/>
    <mergeCell ref="P98:AD98"/>
    <mergeCell ref="AE98:AL98"/>
    <mergeCell ref="AM98:BJ98"/>
    <mergeCell ref="P102:AD102"/>
    <mergeCell ref="AM156:BJ156"/>
    <mergeCell ref="P157:AD157"/>
    <mergeCell ref="AE157:AL157"/>
    <mergeCell ref="AM157:BJ157"/>
    <mergeCell ref="P103:AD103"/>
    <mergeCell ref="AE102:AL102"/>
    <mergeCell ref="P158:AD158"/>
    <mergeCell ref="AE158:AL158"/>
    <mergeCell ref="AM158:BJ158"/>
    <mergeCell ref="AE159:AL159"/>
    <mergeCell ref="AM159:BJ159"/>
    <mergeCell ref="AE153:AL153"/>
    <mergeCell ref="AE145:AL145"/>
    <mergeCell ref="P68:AD68"/>
    <mergeCell ref="P73:AD73"/>
    <mergeCell ref="AE73:AL73"/>
    <mergeCell ref="AM73:BJ73"/>
    <mergeCell ref="P74:AD74"/>
    <mergeCell ref="P77:AD77"/>
    <mergeCell ref="AE77:AL77"/>
    <mergeCell ref="AM77:BJ77"/>
    <mergeCell ref="P78:AD78"/>
    <mergeCell ref="AE78:AL78"/>
    <mergeCell ref="AM78:BJ78"/>
    <mergeCell ref="AE108:AL108"/>
    <mergeCell ref="P85:AD85"/>
    <mergeCell ref="AE85:AL85"/>
    <mergeCell ref="AM85:BJ85"/>
    <mergeCell ref="P86:AD86"/>
    <mergeCell ref="AE86:AL86"/>
    <mergeCell ref="AM86:BJ86"/>
    <mergeCell ref="P87:AD87"/>
    <mergeCell ref="AE87:AL87"/>
    <mergeCell ref="AM87:BJ87"/>
    <mergeCell ref="AE74:AL74"/>
    <mergeCell ref="AM74:BJ74"/>
    <mergeCell ref="AM91:BJ91"/>
    <mergeCell ref="P92:AD92"/>
    <mergeCell ref="AE92:AL92"/>
    <mergeCell ref="AM92:BJ92"/>
    <mergeCell ref="AM94:BJ94"/>
    <mergeCell ref="P90:AD90"/>
    <mergeCell ref="AE90:AL90"/>
    <mergeCell ref="AE79:AL79"/>
    <mergeCell ref="AM79:BJ79"/>
    <mergeCell ref="P64:AD64"/>
    <mergeCell ref="AE64:AL64"/>
    <mergeCell ref="AM64:BJ64"/>
    <mergeCell ref="P65:AD65"/>
    <mergeCell ref="AE65:AL65"/>
    <mergeCell ref="AM65:BJ65"/>
    <mergeCell ref="P66:AD66"/>
    <mergeCell ref="AE66:AL66"/>
    <mergeCell ref="AM66:BJ66"/>
    <mergeCell ref="P67:AD67"/>
    <mergeCell ref="AE67:AL67"/>
    <mergeCell ref="AM67:BJ67"/>
    <mergeCell ref="AM130:BJ130"/>
    <mergeCell ref="P125:AD125"/>
    <mergeCell ref="AE127:AL127"/>
    <mergeCell ref="P134:AD134"/>
    <mergeCell ref="AE134:AL134"/>
    <mergeCell ref="AM134:BJ134"/>
    <mergeCell ref="P130:AD130"/>
    <mergeCell ref="AE130:AL130"/>
    <mergeCell ref="AM103:BJ103"/>
    <mergeCell ref="AM90:BJ90"/>
    <mergeCell ref="P99:AD99"/>
    <mergeCell ref="AE99:AL99"/>
    <mergeCell ref="AM99:BJ99"/>
    <mergeCell ref="P84:AD84"/>
    <mergeCell ref="AE84:AL84"/>
    <mergeCell ref="AM84:BJ84"/>
    <mergeCell ref="AE132:AL132"/>
    <mergeCell ref="AE68:AL68"/>
    <mergeCell ref="AM68:BJ68"/>
    <mergeCell ref="P79:AD79"/>
    <mergeCell ref="P71:AD71"/>
    <mergeCell ref="AE71:AL71"/>
    <mergeCell ref="AM71:BJ71"/>
    <mergeCell ref="P72:AD72"/>
    <mergeCell ref="AE72:AL72"/>
    <mergeCell ref="AM72:BJ72"/>
    <mergeCell ref="P69:AD69"/>
    <mergeCell ref="AE69:AL69"/>
    <mergeCell ref="AM69:BJ69"/>
    <mergeCell ref="P70:AD70"/>
    <mergeCell ref="AE70:AL70"/>
    <mergeCell ref="P120:AD120"/>
    <mergeCell ref="P88:AD88"/>
    <mergeCell ref="AE88:AL88"/>
    <mergeCell ref="AM88:BJ88"/>
    <mergeCell ref="P89:AD89"/>
    <mergeCell ref="AE89:AL89"/>
    <mergeCell ref="AM89:BJ89"/>
    <mergeCell ref="P95:AD95"/>
    <mergeCell ref="AE95:AL95"/>
    <mergeCell ref="AM95:BJ95"/>
    <mergeCell ref="P91:AD91"/>
    <mergeCell ref="AE91:AL91"/>
    <mergeCell ref="P113:AD113"/>
    <mergeCell ref="AE113:AL113"/>
    <mergeCell ref="AM113:BJ113"/>
    <mergeCell ref="P114:AD114"/>
    <mergeCell ref="AE114:AL114"/>
    <mergeCell ref="AM114:BJ114"/>
    <mergeCell ref="AE46:AL46"/>
    <mergeCell ref="AM46:BJ46"/>
    <mergeCell ref="P47:AD47"/>
    <mergeCell ref="P58:AD58"/>
    <mergeCell ref="AE58:AL58"/>
    <mergeCell ref="AM58:BJ58"/>
    <mergeCell ref="P50:AD50"/>
    <mergeCell ref="AE50:AL50"/>
    <mergeCell ref="AM50:BJ50"/>
    <mergeCell ref="P51:AD51"/>
    <mergeCell ref="AE51:AL51"/>
    <mergeCell ref="P62:AD62"/>
    <mergeCell ref="AE62:AL62"/>
    <mergeCell ref="AM62:BJ62"/>
    <mergeCell ref="P63:AD63"/>
    <mergeCell ref="AE63:AL63"/>
    <mergeCell ref="AM63:BJ63"/>
    <mergeCell ref="AM57:BJ57"/>
    <mergeCell ref="P55:AD55"/>
    <mergeCell ref="AE55:AL55"/>
    <mergeCell ref="AM55:BJ55"/>
    <mergeCell ref="P52:AD52"/>
    <mergeCell ref="AE52:AL52"/>
    <mergeCell ref="AM52:BJ52"/>
    <mergeCell ref="P53:AD53"/>
    <mergeCell ref="P54:AD54"/>
    <mergeCell ref="AE54:AL54"/>
    <mergeCell ref="AM54:BJ54"/>
    <mergeCell ref="P61:AD61"/>
    <mergeCell ref="AE61:AL61"/>
    <mergeCell ref="AM61:BJ61"/>
    <mergeCell ref="P49:AD49"/>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29:AL29"/>
    <mergeCell ref="AM29:BJ29"/>
    <mergeCell ref="P30:AD30"/>
    <mergeCell ref="AE30:AL30"/>
    <mergeCell ref="AM30:BJ30"/>
    <mergeCell ref="P35:AD35"/>
    <mergeCell ref="AE35:AL35"/>
    <mergeCell ref="AM35:BJ35"/>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M51:BJ51"/>
    <mergeCell ref="P57:AD57"/>
    <mergeCell ref="AE57:AL57"/>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P10:AD10"/>
    <mergeCell ref="AE10:AL10"/>
    <mergeCell ref="AM10:BJ10"/>
    <mergeCell ref="AE49:AL49"/>
    <mergeCell ref="AM49:BJ49"/>
    <mergeCell ref="P28:AD28"/>
    <mergeCell ref="AE28:AL28"/>
    <mergeCell ref="AM28:BJ28"/>
    <mergeCell ref="P29:AD29"/>
    <mergeCell ref="AE111:AL111"/>
    <mergeCell ref="AM111:BJ111"/>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P121:AD121"/>
    <mergeCell ref="AE121:AL121"/>
    <mergeCell ref="AM121:BJ121"/>
    <mergeCell ref="P131:AD131"/>
    <mergeCell ref="AE131:AL131"/>
    <mergeCell ref="AM131:BJ131"/>
    <mergeCell ref="P122:AD122"/>
    <mergeCell ref="AE122:AL122"/>
    <mergeCell ref="AM122:BJ122"/>
    <mergeCell ref="P123:AD123"/>
    <mergeCell ref="P26:AD26"/>
    <mergeCell ref="AE26:AL26"/>
    <mergeCell ref="AM26:BJ26"/>
    <mergeCell ref="P27:AD27"/>
    <mergeCell ref="AE25:AL25"/>
    <mergeCell ref="AM25:BJ25"/>
    <mergeCell ref="P23:AD23"/>
    <mergeCell ref="AE23:AL23"/>
    <mergeCell ref="P129:AD129"/>
    <mergeCell ref="AE129:AL129"/>
    <mergeCell ref="AM129:BJ129"/>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AM13:BJ13"/>
    <mergeCell ref="P15:AD15"/>
    <mergeCell ref="AE15:AL15"/>
    <mergeCell ref="AM15:BJ15"/>
    <mergeCell ref="AM23:BJ23"/>
    <mergeCell ref="AE27:AL27"/>
    <mergeCell ref="AM27:BJ27"/>
    <mergeCell ref="P25:AD25"/>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B27:F27"/>
    <mergeCell ref="B52:F52"/>
    <mergeCell ref="AS2:AX2"/>
    <mergeCell ref="AY2:BD2"/>
    <mergeCell ref="BE2:BJ2"/>
    <mergeCell ref="AY1:BD1"/>
    <mergeCell ref="AM179:BJ179"/>
    <mergeCell ref="AM167:BJ167"/>
    <mergeCell ref="AM160:BJ160"/>
    <mergeCell ref="AM107:BJ107"/>
    <mergeCell ref="AM4:BJ5"/>
    <mergeCell ref="AM153:BJ153"/>
    <mergeCell ref="AM112:BJ112"/>
    <mergeCell ref="AM149:BJ149"/>
    <mergeCell ref="AM150:BJ150"/>
    <mergeCell ref="AM9:BJ9"/>
    <mergeCell ref="AM161:BJ161"/>
    <mergeCell ref="AM106:BJ106"/>
    <mergeCell ref="AM70:BJ70"/>
    <mergeCell ref="AM128:BJ128"/>
    <mergeCell ref="AM22:BJ22"/>
    <mergeCell ref="AM12:BJ12"/>
    <mergeCell ref="AM34:BJ34"/>
    <mergeCell ref="AM127:BJ127"/>
    <mergeCell ref="AM132:BJ132"/>
    <mergeCell ref="AM56:BJ56"/>
    <mergeCell ref="AM123:BJ123"/>
    <mergeCell ref="AM104:BJ104"/>
    <mergeCell ref="AM162:BJ162"/>
    <mergeCell ref="AM166:BJ166"/>
    <mergeCell ref="AM102:BJ102"/>
    <mergeCell ref="AS1:AX1"/>
    <mergeCell ref="BE1:BJ1"/>
    <mergeCell ref="AM108:BJ108"/>
    <mergeCell ref="B228:F228"/>
    <mergeCell ref="G228:N228"/>
    <mergeCell ref="P228:AD228"/>
    <mergeCell ref="AE228:AL228"/>
    <mergeCell ref="AM228:BJ228"/>
    <mergeCell ref="AE179:AL179"/>
    <mergeCell ref="AM207:BJ207"/>
    <mergeCell ref="B227:F227"/>
    <mergeCell ref="G227:N227"/>
    <mergeCell ref="P227:AD227"/>
    <mergeCell ref="AE227:AL227"/>
    <mergeCell ref="AM227:BJ227"/>
    <mergeCell ref="B226:F226"/>
    <mergeCell ref="G226:N226"/>
    <mergeCell ref="P226:AD226"/>
    <mergeCell ref="AE226:AL226"/>
    <mergeCell ref="B207:F207"/>
    <mergeCell ref="G207:N207"/>
    <mergeCell ref="P207:AD207"/>
    <mergeCell ref="AE207:AL207"/>
    <mergeCell ref="AM226:BJ226"/>
    <mergeCell ref="P179:AD179"/>
    <mergeCell ref="B182:F182"/>
    <mergeCell ref="B180:F180"/>
    <mergeCell ref="G180:N180"/>
    <mergeCell ref="P180:AD180"/>
    <mergeCell ref="B185:F185"/>
    <mergeCell ref="G185:N185"/>
    <mergeCell ref="P185:AD185"/>
    <mergeCell ref="AE180:AL180"/>
    <mergeCell ref="AM180:BJ180"/>
    <mergeCell ref="B181:F181"/>
    <mergeCell ref="P160:AD160"/>
    <mergeCell ref="B179:F179"/>
    <mergeCell ref="G179:N179"/>
    <mergeCell ref="G167:N167"/>
    <mergeCell ref="P167:AD167"/>
    <mergeCell ref="B162:F162"/>
    <mergeCell ref="G162:N162"/>
    <mergeCell ref="P162:AD162"/>
    <mergeCell ref="G166:N166"/>
    <mergeCell ref="P166:AD166"/>
    <mergeCell ref="B170:F170"/>
    <mergeCell ref="G170:N170"/>
    <mergeCell ref="P170:AD170"/>
    <mergeCell ref="B173:F173"/>
    <mergeCell ref="G173:N173"/>
    <mergeCell ref="P173:AD173"/>
    <mergeCell ref="G161:N161"/>
    <mergeCell ref="B169:F169"/>
    <mergeCell ref="G169:N169"/>
    <mergeCell ref="P169:AD169"/>
    <mergeCell ref="P161:AD161"/>
    <mergeCell ref="B165:F165"/>
    <mergeCell ref="G165:N165"/>
    <mergeCell ref="P165:AD165"/>
    <mergeCell ref="B168:F168"/>
    <mergeCell ref="G168:N168"/>
    <mergeCell ref="P168:AD168"/>
    <mergeCell ref="P177:AD177"/>
    <mergeCell ref="B166:F166"/>
    <mergeCell ref="B161:F161"/>
    <mergeCell ref="B159:F159"/>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P116:AD116"/>
    <mergeCell ref="AE116:AL116"/>
    <mergeCell ref="AM116:BJ116"/>
    <mergeCell ref="B128:F128"/>
    <mergeCell ref="G128:N128"/>
    <mergeCell ref="B119:F119"/>
    <mergeCell ref="B153:F153"/>
    <mergeCell ref="G153:N153"/>
    <mergeCell ref="P153:AD153"/>
    <mergeCell ref="B156:F156"/>
    <mergeCell ref="G156:N156"/>
    <mergeCell ref="B157:F157"/>
    <mergeCell ref="G157:N157"/>
    <mergeCell ref="G159:N159"/>
    <mergeCell ref="G123:N123"/>
    <mergeCell ref="G124:N124"/>
    <mergeCell ref="G125:N125"/>
    <mergeCell ref="AE143:AL143"/>
    <mergeCell ref="AM143:BJ143"/>
    <mergeCell ref="P144:AD144"/>
    <mergeCell ref="AE144:AL144"/>
    <mergeCell ref="AM144:BJ144"/>
    <mergeCell ref="B141:F141"/>
    <mergeCell ref="B142:F142"/>
    <mergeCell ref="B143:F143"/>
    <mergeCell ref="B144:F144"/>
    <mergeCell ref="B145:F145"/>
    <mergeCell ref="G138:N138"/>
    <mergeCell ref="G139:N139"/>
    <mergeCell ref="G140:N140"/>
    <mergeCell ref="G141:N141"/>
    <mergeCell ref="AE120:AL120"/>
    <mergeCell ref="AM120:BJ120"/>
    <mergeCell ref="P124:AD124"/>
    <mergeCell ref="AE124:AL124"/>
    <mergeCell ref="AM124:BJ124"/>
    <mergeCell ref="B138:F138"/>
    <mergeCell ref="B139:F139"/>
    <mergeCell ref="B140:F140"/>
    <mergeCell ref="P141:AD141"/>
    <mergeCell ref="AE141:AL141"/>
    <mergeCell ref="AM141:BJ141"/>
    <mergeCell ref="P142:AD142"/>
    <mergeCell ref="AE142:AL142"/>
    <mergeCell ref="AM142:BJ142"/>
    <mergeCell ref="P139:AD139"/>
    <mergeCell ref="AE139:AL139"/>
    <mergeCell ref="AM139:BJ139"/>
    <mergeCell ref="P140:AD140"/>
    <mergeCell ref="P126:AD126"/>
    <mergeCell ref="AE126:AL126"/>
    <mergeCell ref="AM126:BJ126"/>
    <mergeCell ref="P127:AD127"/>
    <mergeCell ref="B127:F127"/>
    <mergeCell ref="G127:N127"/>
    <mergeCell ref="AE123:AL123"/>
    <mergeCell ref="G122:N122"/>
    <mergeCell ref="B28:F28"/>
    <mergeCell ref="B34:F34"/>
    <mergeCell ref="B35:F35"/>
    <mergeCell ref="B36:F36"/>
    <mergeCell ref="B37:F37"/>
    <mergeCell ref="B29:F29"/>
    <mergeCell ref="B30:F30"/>
    <mergeCell ref="B31:F31"/>
    <mergeCell ref="B32:F32"/>
    <mergeCell ref="B33:F33"/>
    <mergeCell ref="B59:F59"/>
    <mergeCell ref="B60:F60"/>
    <mergeCell ref="B61:F61"/>
    <mergeCell ref="B62:F62"/>
    <mergeCell ref="B63:F63"/>
    <mergeCell ref="B64:F64"/>
    <mergeCell ref="B65:F65"/>
    <mergeCell ref="B66:F66"/>
    <mergeCell ref="AE53:AL53"/>
    <mergeCell ref="AM53:BJ53"/>
    <mergeCell ref="P56:AD56"/>
    <mergeCell ref="AE56:AL56"/>
    <mergeCell ref="P109:AD109"/>
    <mergeCell ref="P110:AD110"/>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P146:AD146"/>
    <mergeCell ref="AE146:AL146"/>
    <mergeCell ref="AM146:BJ146"/>
    <mergeCell ref="P119:AD119"/>
    <mergeCell ref="AE119:AL119"/>
    <mergeCell ref="AM119:BJ119"/>
    <mergeCell ref="AE140:AL140"/>
    <mergeCell ref="AM140:BJ140"/>
    <mergeCell ref="AE125:AL125"/>
    <mergeCell ref="AM125:BJ125"/>
    <mergeCell ref="P128:AD128"/>
    <mergeCell ref="AE128:AL128"/>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53:F53"/>
    <mergeCell ref="B54:F54"/>
    <mergeCell ref="B55:F55"/>
    <mergeCell ref="B56:F56"/>
    <mergeCell ref="B57:F57"/>
    <mergeCell ref="B58:F58"/>
    <mergeCell ref="B38:F38"/>
    <mergeCell ref="B39:F39"/>
    <mergeCell ref="B40:F40"/>
    <mergeCell ref="B41:F41"/>
    <mergeCell ref="B42:F42"/>
    <mergeCell ref="B43:F43"/>
    <mergeCell ref="B44:F44"/>
    <mergeCell ref="B45:F45"/>
    <mergeCell ref="B46:F46"/>
    <mergeCell ref="B47:F47"/>
    <mergeCell ref="B48:F48"/>
    <mergeCell ref="B49:F49"/>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78:F78"/>
    <mergeCell ref="B75:F75"/>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00:N100"/>
    <mergeCell ref="G101:N101"/>
    <mergeCell ref="G104:N104"/>
    <mergeCell ref="G105:N105"/>
    <mergeCell ref="B121:F121"/>
    <mergeCell ref="G119:N119"/>
    <mergeCell ref="B120:F120"/>
    <mergeCell ref="G120:N120"/>
    <mergeCell ref="B117:F117"/>
    <mergeCell ref="G117:N117"/>
    <mergeCell ref="B113:F113"/>
    <mergeCell ref="G113:N113"/>
    <mergeCell ref="B106:F106"/>
    <mergeCell ref="G106:N106"/>
    <mergeCell ref="G116:N116"/>
    <mergeCell ref="G130:N130"/>
    <mergeCell ref="G131:N131"/>
    <mergeCell ref="G132:N132"/>
    <mergeCell ref="G133:N133"/>
    <mergeCell ref="G134:N134"/>
    <mergeCell ref="G135:N135"/>
    <mergeCell ref="G136:N136"/>
    <mergeCell ref="G137:N137"/>
    <mergeCell ref="G129:N129"/>
    <mergeCell ref="B130:F130"/>
    <mergeCell ref="B131:F131"/>
    <mergeCell ref="B129:F129"/>
    <mergeCell ref="B132:F132"/>
    <mergeCell ref="B133:F133"/>
    <mergeCell ref="B134:F134"/>
    <mergeCell ref="B135:F135"/>
    <mergeCell ref="B136:F136"/>
    <mergeCell ref="B137:F137"/>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73:N73"/>
    <mergeCell ref="G74:N74"/>
    <mergeCell ref="G77:N77"/>
    <mergeCell ref="G86:N86"/>
    <mergeCell ref="G78:N78"/>
    <mergeCell ref="G66:N66"/>
    <mergeCell ref="G67:N67"/>
    <mergeCell ref="G68:N68"/>
    <mergeCell ref="G69:N69"/>
    <mergeCell ref="G70:N70"/>
    <mergeCell ref="G71:N71"/>
    <mergeCell ref="G72:N72"/>
    <mergeCell ref="G79:N79"/>
    <mergeCell ref="G80:N80"/>
    <mergeCell ref="G81:N81"/>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B6:F6"/>
    <mergeCell ref="G6:N6"/>
    <mergeCell ref="P6:AD6"/>
    <mergeCell ref="AE6:AL6"/>
    <mergeCell ref="AM6:BJ6"/>
    <mergeCell ref="B7:F7"/>
    <mergeCell ref="G7:N7"/>
    <mergeCell ref="P7:AD7"/>
    <mergeCell ref="AE7:AL7"/>
    <mergeCell ref="AM7:BJ7"/>
    <mergeCell ref="G59:N59"/>
    <mergeCell ref="G60:N60"/>
    <mergeCell ref="G61:N61"/>
    <mergeCell ref="G62:N62"/>
    <mergeCell ref="G63:N63"/>
    <mergeCell ref="G64:N64"/>
    <mergeCell ref="G65:N65"/>
    <mergeCell ref="G46:N46"/>
    <mergeCell ref="G47:N47"/>
    <mergeCell ref="G48:N48"/>
    <mergeCell ref="G49:N49"/>
    <mergeCell ref="G50:N50"/>
    <mergeCell ref="G51:N51"/>
    <mergeCell ref="G52:N52"/>
    <mergeCell ref="G53:N53"/>
    <mergeCell ref="G54:N54"/>
    <mergeCell ref="G55:N55"/>
    <mergeCell ref="G56:N56"/>
    <mergeCell ref="G57:N57"/>
    <mergeCell ref="G58:N58"/>
    <mergeCell ref="B50:F50"/>
    <mergeCell ref="B51:F51"/>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82:N82"/>
    <mergeCell ref="G83:N83"/>
    <mergeCell ref="G84:N84"/>
    <mergeCell ref="G85:N85"/>
    <mergeCell ref="AM169:BJ169"/>
    <mergeCell ref="B167:F167"/>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3:AL173"/>
    <mergeCell ref="AM173:BJ173"/>
    <mergeCell ref="AE168:AL168"/>
    <mergeCell ref="AM168:BJ168"/>
    <mergeCell ref="AE169:AL169"/>
    <mergeCell ref="G181:N181"/>
    <mergeCell ref="P181:AD181"/>
    <mergeCell ref="AE181:AL181"/>
    <mergeCell ref="AM181:BJ181"/>
    <mergeCell ref="G182:N18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P192:AD192"/>
    <mergeCell ref="AE192:AL192"/>
    <mergeCell ref="AM192:BJ192"/>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88:BJ188"/>
    <mergeCell ref="B194:F194"/>
    <mergeCell ref="G194:N194"/>
    <mergeCell ref="P194:AD194"/>
    <mergeCell ref="AE194:AL194"/>
    <mergeCell ref="AM194:BJ194"/>
    <mergeCell ref="B195:F195"/>
    <mergeCell ref="G195:N195"/>
    <mergeCell ref="P195:AD195"/>
    <mergeCell ref="AE195:AL195"/>
    <mergeCell ref="AM195:BJ195"/>
    <mergeCell ref="B196:F196"/>
    <mergeCell ref="G196:N196"/>
    <mergeCell ref="P196:AD196"/>
    <mergeCell ref="AE196:AL196"/>
    <mergeCell ref="AM196:BJ196"/>
    <mergeCell ref="B189:F189"/>
    <mergeCell ref="G189:N189"/>
    <mergeCell ref="P189:AD189"/>
    <mergeCell ref="AE189:AL189"/>
    <mergeCell ref="AM189:BJ189"/>
    <mergeCell ref="B190:F190"/>
    <mergeCell ref="G190:N190"/>
    <mergeCell ref="P190:AD190"/>
    <mergeCell ref="AE190:AL190"/>
    <mergeCell ref="AM190:BJ190"/>
    <mergeCell ref="B191:F191"/>
    <mergeCell ref="G191:N191"/>
    <mergeCell ref="P191:AD191"/>
    <mergeCell ref="AE191:AL191"/>
    <mergeCell ref="AM191:BJ191"/>
    <mergeCell ref="B192:F192"/>
    <mergeCell ref="G192:N192"/>
    <mergeCell ref="AE165:AL165"/>
    <mergeCell ref="AM165:BJ165"/>
    <mergeCell ref="B197:F197"/>
    <mergeCell ref="G197:N197"/>
    <mergeCell ref="P197:AD197"/>
    <mergeCell ref="AE197:AL197"/>
    <mergeCell ref="AM197:BJ197"/>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P199:AD199"/>
    <mergeCell ref="AE199:AL199"/>
    <mergeCell ref="AM199:BJ199"/>
    <mergeCell ref="B200:F200"/>
    <mergeCell ref="G200:N200"/>
    <mergeCell ref="P200:AD200"/>
    <mergeCell ref="AE200:AL200"/>
    <mergeCell ref="AM200:BJ200"/>
    <mergeCell ref="B193:F193"/>
    <mergeCell ref="G193:N193"/>
    <mergeCell ref="P193:AD193"/>
    <mergeCell ref="AE193:AL193"/>
    <mergeCell ref="AM193:BJ193"/>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B212:F212"/>
    <mergeCell ref="G212:N212"/>
    <mergeCell ref="P212:AD212"/>
    <mergeCell ref="AE212:AL212"/>
    <mergeCell ref="AM212:BJ212"/>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17:F217"/>
    <mergeCell ref="G217:N217"/>
    <mergeCell ref="P217:AD217"/>
    <mergeCell ref="AE217:AL217"/>
    <mergeCell ref="AM217:BJ217"/>
    <mergeCell ref="B218:F218"/>
    <mergeCell ref="G218:N218"/>
    <mergeCell ref="P218:AD218"/>
    <mergeCell ref="AE218:AL218"/>
    <mergeCell ref="AM218:BJ218"/>
    <mergeCell ref="B219:F219"/>
    <mergeCell ref="G219:N219"/>
    <mergeCell ref="P219:AD219"/>
    <mergeCell ref="AE219:AL219"/>
    <mergeCell ref="AM219:BJ219"/>
    <mergeCell ref="B220:F220"/>
    <mergeCell ref="G220:N220"/>
    <mergeCell ref="P220:AD220"/>
    <mergeCell ref="AE220:AL220"/>
    <mergeCell ref="AM220:BJ220"/>
    <mergeCell ref="B225:F225"/>
    <mergeCell ref="G225:N225"/>
    <mergeCell ref="P225:AD225"/>
    <mergeCell ref="AE225:AL225"/>
    <mergeCell ref="AM225:BJ225"/>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s>
  <phoneticPr fontId="8"/>
  <conditionalFormatting sqref="B110:F112 B108:N109 G7:N7 G110:N152 G9:N19 G80:N106 G21:N72 B169:N173 B181:N201">
    <cfRule type="expression" dxfId="100" priority="202">
      <formula>B6=B7</formula>
    </cfRule>
  </conditionalFormatting>
  <conditionalFormatting sqref="O2:AD2">
    <cfRule type="expression" dxfId="99" priority="196">
      <formula>$O$2=""</formula>
    </cfRule>
  </conditionalFormatting>
  <conditionalFormatting sqref="B167:N167">
    <cfRule type="expression" dxfId="98" priority="157">
      <formula>#REF!=B167</formula>
    </cfRule>
  </conditionalFormatting>
  <conditionalFormatting sqref="G207:N207">
    <cfRule type="expression" dxfId="97" priority="162">
      <formula>#REF!=G207</formula>
    </cfRule>
  </conditionalFormatting>
  <conditionalFormatting sqref="G160:N160">
    <cfRule type="expression" dxfId="96" priority="204">
      <formula>#REF!=G160</formula>
    </cfRule>
  </conditionalFormatting>
  <conditionalFormatting sqref="B160:F160">
    <cfRule type="expression" dxfId="95" priority="159">
      <formula>#REF!=B160</formula>
    </cfRule>
  </conditionalFormatting>
  <conditionalFormatting sqref="B226:N226">
    <cfRule type="expression" dxfId="94" priority="151">
      <formula>B207=B226</formula>
    </cfRule>
  </conditionalFormatting>
  <conditionalFormatting sqref="B207:F207">
    <cfRule type="expression" dxfId="93" priority="152">
      <formula>#REF!=B207</formula>
    </cfRule>
  </conditionalFormatting>
  <conditionalFormatting sqref="B228:N228 B119:F152 B10:F19 B81:F106 B22:F72">
    <cfRule type="expression" dxfId="92" priority="205">
      <formula>B8=B10</formula>
    </cfRule>
  </conditionalFormatting>
  <conditionalFormatting sqref="B227:F227">
    <cfRule type="expression" dxfId="91" priority="147">
      <formula>B226=B227</formula>
    </cfRule>
  </conditionalFormatting>
  <conditionalFormatting sqref="G227:N227">
    <cfRule type="expression" dxfId="90" priority="148">
      <formula>G226=G227</formula>
    </cfRule>
  </conditionalFormatting>
  <conditionalFormatting sqref="G161:N161">
    <cfRule type="expression" dxfId="89" priority="145">
      <formula>G160=G161</formula>
    </cfRule>
  </conditionalFormatting>
  <conditionalFormatting sqref="B161:F161">
    <cfRule type="expression" dxfId="88" priority="144">
      <formula>B160=B161</formula>
    </cfRule>
  </conditionalFormatting>
  <conditionalFormatting sqref="G159:N159">
    <cfRule type="expression" dxfId="87" priority="130">
      <formula>G153=G159</formula>
    </cfRule>
  </conditionalFormatting>
  <conditionalFormatting sqref="B159:F159">
    <cfRule type="expression" dxfId="86" priority="129">
      <formula>B153=B159</formula>
    </cfRule>
  </conditionalFormatting>
  <conditionalFormatting sqref="B153:N153">
    <cfRule type="expression" dxfId="85" priority="206">
      <formula>#REF!=B153</formula>
    </cfRule>
  </conditionalFormatting>
  <conditionalFormatting sqref="B113:F113">
    <cfRule type="expression" dxfId="84" priority="122">
      <formula>B111=B113</formula>
    </cfRule>
  </conditionalFormatting>
  <conditionalFormatting sqref="B114:F118">
    <cfRule type="expression" dxfId="83" priority="121">
      <formula>B112=B114</formula>
    </cfRule>
  </conditionalFormatting>
  <conditionalFormatting sqref="B7:F7">
    <cfRule type="expression" dxfId="82" priority="86">
      <formula>B106=B7</formula>
    </cfRule>
  </conditionalFormatting>
  <conditionalFormatting sqref="G162:N162">
    <cfRule type="expression" dxfId="81" priority="84">
      <formula>G161=G162</formula>
    </cfRule>
  </conditionalFormatting>
  <conditionalFormatting sqref="B162:F162">
    <cfRule type="expression" dxfId="80" priority="83">
      <formula>B161=B162</formula>
    </cfRule>
  </conditionalFormatting>
  <conditionalFormatting sqref="G166:N166">
    <cfRule type="expression" dxfId="79" priority="82">
      <formula>G162=G166</formula>
    </cfRule>
  </conditionalFormatting>
  <conditionalFormatting sqref="B166:F166">
    <cfRule type="expression" dxfId="78" priority="81">
      <formula>B162=B166</formula>
    </cfRule>
  </conditionalFormatting>
  <conditionalFormatting sqref="G168:N168">
    <cfRule type="expression" dxfId="77" priority="79">
      <formula>G167=G168</formula>
    </cfRule>
  </conditionalFormatting>
  <conditionalFormatting sqref="B168:F168">
    <cfRule type="expression" dxfId="76" priority="78">
      <formula>B167=B168</formula>
    </cfRule>
  </conditionalFormatting>
  <conditionalFormatting sqref="B6:N6">
    <cfRule type="expression" dxfId="75" priority="75">
      <formula>B3=B6</formula>
    </cfRule>
  </conditionalFormatting>
  <conditionalFormatting sqref="G107:N107">
    <cfRule type="expression" dxfId="74" priority="74">
      <formula>G7=G107</formula>
    </cfRule>
  </conditionalFormatting>
  <conditionalFormatting sqref="B107:F107">
    <cfRule type="expression" dxfId="73" priority="71">
      <formula>B7=B107</formula>
    </cfRule>
  </conditionalFormatting>
  <conditionalFormatting sqref="B20:F21">
    <cfRule type="expression" dxfId="72" priority="209">
      <formula>B18=B20</formula>
    </cfRule>
  </conditionalFormatting>
  <conditionalFormatting sqref="G20:N20">
    <cfRule type="expression" dxfId="71" priority="213">
      <formula>G19=G20</formula>
    </cfRule>
  </conditionalFormatting>
  <conditionalFormatting sqref="B8:F9">
    <cfRule type="expression" dxfId="70" priority="214">
      <formula>B151=B8</formula>
    </cfRule>
  </conditionalFormatting>
  <conditionalFormatting sqref="G8:N8">
    <cfRule type="expression" dxfId="69" priority="215">
      <formula>G152=G8</formula>
    </cfRule>
  </conditionalFormatting>
  <conditionalFormatting sqref="G163:N163">
    <cfRule type="expression" dxfId="68" priority="70">
      <formula>G162=G163</formula>
    </cfRule>
  </conditionalFormatting>
  <conditionalFormatting sqref="B163:F163">
    <cfRule type="expression" dxfId="67" priority="69">
      <formula>B162=B163</formula>
    </cfRule>
  </conditionalFormatting>
  <conditionalFormatting sqref="G164:N164">
    <cfRule type="expression" dxfId="66" priority="68">
      <formula>G163=G164</formula>
    </cfRule>
  </conditionalFormatting>
  <conditionalFormatting sqref="B164:F164">
    <cfRule type="expression" dxfId="65" priority="67">
      <formula>B163=B164</formula>
    </cfRule>
  </conditionalFormatting>
  <conditionalFormatting sqref="G154:N154">
    <cfRule type="expression" dxfId="64" priority="64">
      <formula>G153=G154</formula>
    </cfRule>
  </conditionalFormatting>
  <conditionalFormatting sqref="B154:F154">
    <cfRule type="expression" dxfId="63" priority="63">
      <formula>B153=B154</formula>
    </cfRule>
  </conditionalFormatting>
  <conditionalFormatting sqref="G155:N155">
    <cfRule type="expression" dxfId="62" priority="62">
      <formula>G154=G155</formula>
    </cfRule>
  </conditionalFormatting>
  <conditionalFormatting sqref="B155:F155">
    <cfRule type="expression" dxfId="61" priority="61">
      <formula>B154=B155</formula>
    </cfRule>
  </conditionalFormatting>
  <conditionalFormatting sqref="G156:N156">
    <cfRule type="expression" dxfId="60" priority="60">
      <formula>G155=G156</formula>
    </cfRule>
  </conditionalFormatting>
  <conditionalFormatting sqref="B156:F156">
    <cfRule type="expression" dxfId="59" priority="59">
      <formula>B155=B156</formula>
    </cfRule>
  </conditionalFormatting>
  <conditionalFormatting sqref="G157:N157">
    <cfRule type="expression" dxfId="58" priority="58">
      <formula>G156=G157</formula>
    </cfRule>
  </conditionalFormatting>
  <conditionalFormatting sqref="B157:F157">
    <cfRule type="expression" dxfId="57" priority="57">
      <formula>B156=B157</formula>
    </cfRule>
  </conditionalFormatting>
  <conditionalFormatting sqref="G79:N79 B180:N180">
    <cfRule type="expression" dxfId="56" priority="217">
      <formula>B72=B79</formula>
    </cfRule>
  </conditionalFormatting>
  <conditionalFormatting sqref="B79:F80">
    <cfRule type="expression" dxfId="55" priority="220">
      <formula>B71=B79</formula>
    </cfRule>
  </conditionalFormatting>
  <conditionalFormatting sqref="G73:N78">
    <cfRule type="expression" dxfId="54" priority="53">
      <formula>G72=G73</formula>
    </cfRule>
  </conditionalFormatting>
  <conditionalFormatting sqref="B73:F78">
    <cfRule type="expression" dxfId="53" priority="54">
      <formula>B71=B73</formula>
    </cfRule>
  </conditionalFormatting>
  <conditionalFormatting sqref="G158:N158">
    <cfRule type="expression" dxfId="52" priority="49">
      <formula>G157=G158</formula>
    </cfRule>
  </conditionalFormatting>
  <conditionalFormatting sqref="B158:F158">
    <cfRule type="expression" dxfId="51" priority="48">
      <formula>B157=B158</formula>
    </cfRule>
  </conditionalFormatting>
  <conditionalFormatting sqref="B179:N179">
    <cfRule type="expression" dxfId="50" priority="221">
      <formula>B201=B179</formula>
    </cfRule>
  </conditionalFormatting>
  <conditionalFormatting sqref="B174:N178">
    <cfRule type="expression" dxfId="49" priority="223">
      <formula>B195=B174</formula>
    </cfRule>
  </conditionalFormatting>
  <conditionalFormatting sqref="G165:N165">
    <cfRule type="expression" dxfId="48" priority="47">
      <formula>G164=G165</formula>
    </cfRule>
  </conditionalFormatting>
  <conditionalFormatting sqref="B165:F165">
    <cfRule type="expression" dxfId="47" priority="46">
      <formula>B164=B165</formula>
    </cfRule>
  </conditionalFormatting>
  <conditionalFormatting sqref="B224:N224">
    <cfRule type="expression" dxfId="46" priority="35">
      <formula>B208=B224</formula>
    </cfRule>
  </conditionalFormatting>
  <conditionalFormatting sqref="B208:F208">
    <cfRule type="expression" dxfId="45" priority="38">
      <formula>B207=B208</formula>
    </cfRule>
  </conditionalFormatting>
  <conditionalFormatting sqref="G208:N208">
    <cfRule type="expression" dxfId="44" priority="39">
      <formula>G207=G208</formula>
    </cfRule>
  </conditionalFormatting>
  <conditionalFormatting sqref="B202:N205">
    <cfRule type="expression" dxfId="43" priority="31">
      <formula>B201=B202</formula>
    </cfRule>
  </conditionalFormatting>
  <conditionalFormatting sqref="B206:N206">
    <cfRule type="expression" dxfId="42" priority="30">
      <formula>B205=B206</formula>
    </cfRule>
  </conditionalFormatting>
  <conditionalFormatting sqref="B209:F209">
    <cfRule type="expression" dxfId="41" priority="28">
      <formula>B208=B209</formula>
    </cfRule>
  </conditionalFormatting>
  <conditionalFormatting sqref="G209:N209">
    <cfRule type="expression" dxfId="40" priority="29">
      <formula>G208=G209</formula>
    </cfRule>
  </conditionalFormatting>
  <conditionalFormatting sqref="B210:F210">
    <cfRule type="expression" dxfId="39" priority="26">
      <formula>B209=B210</formula>
    </cfRule>
  </conditionalFormatting>
  <conditionalFormatting sqref="G210:N210">
    <cfRule type="expression" dxfId="38" priority="27">
      <formula>G209=G210</formula>
    </cfRule>
  </conditionalFormatting>
  <conditionalFormatting sqref="B211:F211">
    <cfRule type="expression" dxfId="37" priority="24">
      <formula>B210=B211</formula>
    </cfRule>
  </conditionalFormatting>
  <conditionalFormatting sqref="G211:N211">
    <cfRule type="expression" dxfId="36" priority="25">
      <formula>G210=G211</formula>
    </cfRule>
  </conditionalFormatting>
  <conditionalFormatting sqref="B212:F212">
    <cfRule type="expression" dxfId="35" priority="22">
      <formula>B211=B212</formula>
    </cfRule>
  </conditionalFormatting>
  <conditionalFormatting sqref="G212:N212">
    <cfRule type="expression" dxfId="34" priority="23">
      <formula>G211=G212</formula>
    </cfRule>
  </conditionalFormatting>
  <conditionalFormatting sqref="B213:F213">
    <cfRule type="expression" dxfId="33" priority="20">
      <formula>B212=B213</formula>
    </cfRule>
  </conditionalFormatting>
  <conditionalFormatting sqref="G213:N213">
    <cfRule type="expression" dxfId="32" priority="21">
      <formula>G212=G213</formula>
    </cfRule>
  </conditionalFormatting>
  <conditionalFormatting sqref="B214:F214">
    <cfRule type="expression" dxfId="31" priority="18">
      <formula>B213=B214</formula>
    </cfRule>
  </conditionalFormatting>
  <conditionalFormatting sqref="G214:N214">
    <cfRule type="expression" dxfId="30" priority="19">
      <formula>G213=G214</formula>
    </cfRule>
  </conditionalFormatting>
  <conditionalFormatting sqref="B215:F215">
    <cfRule type="expression" dxfId="29" priority="16">
      <formula>B214=B215</formula>
    </cfRule>
  </conditionalFormatting>
  <conditionalFormatting sqref="G215:N215">
    <cfRule type="expression" dxfId="28" priority="17">
      <formula>G214=G215</formula>
    </cfRule>
  </conditionalFormatting>
  <conditionalFormatting sqref="B216:F216">
    <cfRule type="expression" dxfId="27" priority="14">
      <formula>B215=B216</formula>
    </cfRule>
  </conditionalFormatting>
  <conditionalFormatting sqref="G216:N216">
    <cfRule type="expression" dxfId="26" priority="15">
      <formula>G215=G216</formula>
    </cfRule>
  </conditionalFormatting>
  <conditionalFormatting sqref="B217:F217">
    <cfRule type="expression" dxfId="25" priority="12">
      <formula>B216=B217</formula>
    </cfRule>
  </conditionalFormatting>
  <conditionalFormatting sqref="G217:N217">
    <cfRule type="expression" dxfId="24" priority="13">
      <formula>G216=G217</formula>
    </cfRule>
  </conditionalFormatting>
  <conditionalFormatting sqref="B218:F219">
    <cfRule type="expression" dxfId="23" priority="10">
      <formula>B217=B218</formula>
    </cfRule>
  </conditionalFormatting>
  <conditionalFormatting sqref="G218:N219">
    <cfRule type="expression" dxfId="22" priority="11">
      <formula>G217=G218</formula>
    </cfRule>
  </conditionalFormatting>
  <conditionalFormatting sqref="B220:F220">
    <cfRule type="expression" dxfId="21" priority="8">
      <formula>B219=B220</formula>
    </cfRule>
  </conditionalFormatting>
  <conditionalFormatting sqref="G220:N220">
    <cfRule type="expression" dxfId="20" priority="9">
      <formula>G219=G220</formula>
    </cfRule>
  </conditionalFormatting>
  <conditionalFormatting sqref="B221:F221">
    <cfRule type="expression" dxfId="19" priority="6">
      <formula>B220=B221</formula>
    </cfRule>
  </conditionalFormatting>
  <conditionalFormatting sqref="G221:N221">
    <cfRule type="expression" dxfId="18" priority="7">
      <formula>G220=G221</formula>
    </cfRule>
  </conditionalFormatting>
  <conditionalFormatting sqref="B222:F222">
    <cfRule type="expression" dxfId="17" priority="4">
      <formula>B221=B222</formula>
    </cfRule>
  </conditionalFormatting>
  <conditionalFormatting sqref="G222:N222">
    <cfRule type="expression" dxfId="16" priority="5">
      <formula>G221=G222</formula>
    </cfRule>
  </conditionalFormatting>
  <conditionalFormatting sqref="B223:F223">
    <cfRule type="expression" dxfId="15" priority="2">
      <formula>B222=B223</formula>
    </cfRule>
  </conditionalFormatting>
  <conditionalFormatting sqref="G223:N223">
    <cfRule type="expression" dxfId="14" priority="3">
      <formula>G222=G223</formula>
    </cfRule>
  </conditionalFormatting>
  <conditionalFormatting sqref="B225:N225">
    <cfRule type="expression" dxfId="13" priority="1">
      <formula>B209=B225</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60:AD160" location="患者ID一覧マスタ!A1" display="患者ID一覧マスタ"/>
    <hyperlink ref="P207:AD207" location="ワーク_患者基本データ!A1" display="ワーク_患者基本データ"/>
    <hyperlink ref="P226:AD226" location="セレクト_疾患データ_大区分!A1" display="セレクト_疾患データ_大区分"/>
    <hyperlink ref="P227:AD227" location="セレクト_疾患データ_小区分!A1" display="セレクト_疾患データ_小区分"/>
    <hyperlink ref="P161:AD161" location="施設マスタ!A1" display="施設マスタ"/>
    <hyperlink ref="P159:AD159"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2:AD162" location="患者マスタ!A1" display="患者マスタ"/>
    <hyperlink ref="P166:AD166" location="診療行為マスタ!A1" display="診療行為マスタ"/>
    <hyperlink ref="P168:AD168"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163:AD163" location="疾患マスタ!A1" display="疾患マスタ"/>
    <hyperlink ref="P164:AD164" location="薬剤マスタ!A1" display="薬剤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202:AD202" location="ベース_検歴情報モジュール_検歴項目情報!A1" display="ベース_検歴情報モジュール_検歴項目情報"/>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58:AD158" location="組入れ_対象検体検査_対象患者!A1" display="組入れ_対象検体検査_対象患者"/>
    <hyperlink ref="P167:AD167" location="ベース_処方データ!A1" display="ベース_処方データ"/>
    <hyperlink ref="P165:AD165" location="検体検査マスタ!A1" display="検体検査マスタ"/>
    <hyperlink ref="P208:AD208" location="ワーク_疾患データ!A1" display="ワーク_疾患データ"/>
    <hyperlink ref="P203:AD203" location="ベース_バイタルサインモジュール_バイタルサイン!A1" display="ベース_バイタルサインモジュール_バイタルサイン"/>
    <hyperlink ref="P204:AD204" location="ベース_バイタルサインモジュール_記録項目!A1" display="ベース_バイタルサインモジュール_記録項目"/>
    <hyperlink ref="P205:AD205" location="ベース_体温表モジュール_バイタルサイン!A1" display="ベース_体温表モジュール_バイタルサイン"/>
    <hyperlink ref="P206:AD206" location="ベース_体温表モジュール_記録項目!A1" display="ベース_体温表モジュール_記録項目"/>
    <hyperlink ref="P209:AD209" location="ワーク_入院退院_DPC!A1" display="ワーク_入院退院_DPC"/>
    <hyperlink ref="P210:AD210" location="ワーク_入院退院_MML!A1" display="ワーク_入院退院_MML"/>
    <hyperlink ref="P211:AD211" location="ワーク_入院退院!A1" display="ワーク_入院退院"/>
    <hyperlink ref="P212:AD212" location="ワーク_外来_DPC!A1" display="ワーク_外来_DPC"/>
    <hyperlink ref="P213:AD213" location="ワーク_外来_MML!A1" display="ワーク_外来_MML"/>
    <hyperlink ref="P214:AD214" location="ワーク_外来!A1" display="ワーク_外来"/>
    <hyperlink ref="P215:AD215" location="ワーク_処方データ!A1" display="ワーク_処方データ"/>
    <hyperlink ref="P216:AD216" location="ワーク_診療行為データ!A1" display="ワーク_診療行為データ"/>
    <hyperlink ref="P217:AD217" location="ワーク_検体検査データ_スキーマ2!A1" display="ワーク_検体検査データ_スキーマ2"/>
    <hyperlink ref="P218:AD218" location="ワーク_検体検査データ_スキーマ4!A1" display="ワーク_検体検査データ_スキーマ4"/>
    <hyperlink ref="P219:AD219" location="ワーク_検体検査データ!A1" display="ワーク_検体検査データ"/>
    <hyperlink ref="P223:AD223" location="ワーク_テキスト情報_一時!A1" display="ワーク_テキスト情報_一時"/>
    <hyperlink ref="P224:AD224" location="ワーク_テキスト情報!A1" display="ワーク_テキスト情報"/>
    <hyperlink ref="P220:AD220" location="ワーク_身長体重データ_DPC!A1" display="ワーク_身長体重データ_DPC"/>
    <hyperlink ref="P221:AD221" location="ワーク_身長体重データ_MML!A1" display="ワーク_身長体重データ_MML"/>
    <hyperlink ref="P222:AD222" location="ワーク_身長体重データ!A1" display="ワーク_身長体重データ"/>
    <hyperlink ref="P225:AD225" location="ワーク_観察期間!A1" display="ワーク_観察期間"/>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28:F228"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ENT_01_01</v>
      </c>
      <c r="E6" s="240"/>
      <c r="F6" s="240"/>
      <c r="G6" s="240"/>
      <c r="H6" s="240"/>
      <c r="I6" s="240"/>
      <c r="J6" s="241"/>
    </row>
    <row r="7" spans="1:45">
      <c r="B7" s="229" t="s">
        <v>115</v>
      </c>
      <c r="C7" s="230"/>
      <c r="D7" s="231" t="s">
        <v>3789</v>
      </c>
      <c r="E7" s="232"/>
      <c r="F7" s="232"/>
      <c r="G7" s="232"/>
      <c r="H7" s="232"/>
      <c r="I7" s="232"/>
      <c r="J7" s="233"/>
    </row>
    <row r="8" spans="1:45">
      <c r="B8" s="229" t="s">
        <v>116</v>
      </c>
      <c r="C8" s="230"/>
      <c r="D8" s="231" t="str">
        <f>エンティティ一覧!AE2&amp;"_"&amp;D5&amp;"_shikkan_first_criteria"</f>
        <v>sny_202310_backup_shikkan_first_criteria</v>
      </c>
      <c r="E8" s="232"/>
      <c r="F8" s="232"/>
      <c r="G8" s="232"/>
      <c r="H8" s="232"/>
      <c r="I8" s="232"/>
      <c r="J8" s="233"/>
    </row>
    <row r="9" spans="1:45" ht="19.5" customHeight="1" thickBot="1">
      <c r="B9" s="234" t="s">
        <v>117</v>
      </c>
      <c r="C9" s="235"/>
      <c r="D9" s="236" t="s">
        <v>3790</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milscm_2023_009.sny_202310_backup_shikkan_first_criteria;</v>
      </c>
      <c r="O10" s="76"/>
      <c r="P10" s="76"/>
      <c r="Q10" s="76"/>
      <c r="R10" s="76"/>
      <c r="S10" s="76"/>
      <c r="T10" s="76"/>
      <c r="AJ10" s="76" t="str">
        <f>"ALTER TABLE ONLY "&amp;エンティティ一覧!$O$2&amp;"."&amp;D$8</f>
        <v>ALTER TABLE ONLY milscm_2023_009.sny_202310_backup_shikkan_first_criteria</v>
      </c>
      <c r="AS10" s="76" t="str">
        <f>"ALTER TABLE "&amp;エンティティ一覧!$O$2&amp;"."&amp;D$8&amp;" OWNER TO pgmisgrp1;"</f>
        <v>ALTER TABLE milscm_2023_009.sny_202310_backup_shikkan_first_criteria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milscm_2023_009.sny_202310_backup_shikkan_first_criteria</v>
      </c>
      <c r="O11" s="76"/>
      <c r="P11" s="76"/>
      <c r="Q11" s="76"/>
      <c r="R11" s="76"/>
      <c r="S11" s="76"/>
      <c r="T11" s="76"/>
      <c r="AJ11" s="76" t="str">
        <f>"ADD CONSTRAINT "&amp;D$8&amp;"_pkey PRIMARY KEY"</f>
        <v>ADD CONSTRAINT sny_202310_backup_shikkan_first_criteria_pkey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865</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1247</v>
      </c>
      <c r="D14" s="6" t="s">
        <v>1248</v>
      </c>
      <c r="E14" s="8" t="s">
        <v>127</v>
      </c>
      <c r="F14" s="7" t="s">
        <v>865</v>
      </c>
      <c r="G14" s="7" t="str">
        <f t="shared" ref="G14:G15" si="3">IF(F14="フラグ","boolean",IF(F14="文字列","text",IF(F14="整数","integer",IF(F14="実数","numeric",""))))</f>
        <v>text</v>
      </c>
      <c r="H14" s="26"/>
      <c r="I14" s="10" t="s">
        <v>127</v>
      </c>
      <c r="J14" s="11"/>
      <c r="M14" s="4"/>
      <c r="N14" s="76"/>
      <c r="O14" s="76"/>
      <c r="P14" s="76" t="str">
        <f t="shared" ref="P14:P16" si="4">IF(B14&lt;&gt;1,","&amp;D14,D14)</f>
        <v>,master_id</v>
      </c>
      <c r="Q14" s="76" t="str">
        <f t="shared" si="0"/>
        <v>TEXT</v>
      </c>
      <c r="R14" s="76" t="str">
        <f t="shared" si="1"/>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1323</v>
      </c>
      <c r="D15" s="13" t="s">
        <v>1324</v>
      </c>
      <c r="E15" s="7" t="s">
        <v>127</v>
      </c>
      <c r="F15" s="7" t="s">
        <v>865</v>
      </c>
      <c r="G15" s="7" t="str">
        <f t="shared" si="3"/>
        <v>text</v>
      </c>
      <c r="H15" s="58"/>
      <c r="I15" s="23" t="s">
        <v>127</v>
      </c>
      <c r="J15" s="24"/>
      <c r="M15" s="4"/>
      <c r="N15" s="76"/>
      <c r="O15" s="76"/>
      <c r="P15" s="76" t="str">
        <f t="shared" si="4"/>
        <v>,byomei</v>
      </c>
      <c r="Q15" s="76" t="str">
        <f t="shared" si="0"/>
        <v>TEXT</v>
      </c>
      <c r="R15" s="76" t="str">
        <f t="shared" si="1"/>
        <v/>
      </c>
      <c r="S15" s="76" t="str">
        <f t="shared" ref="S15:S16" si="5">IF(I15="○","NOT NULL","")</f>
        <v>NOT NULL</v>
      </c>
      <c r="T15" s="76" t="str">
        <f t="shared" ref="T15:T16" si="6">"--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milscm_2023_009.sny_202310_backup_shikkan_first_criteria.byomei IS '病名';</v>
      </c>
    </row>
    <row r="16" spans="1:45" s="25" customFormat="1" ht="19.5" thickBot="1">
      <c r="A16" s="4"/>
      <c r="B16" s="27">
        <f>ROW()-12</f>
        <v>4</v>
      </c>
      <c r="C16" s="57" t="s">
        <v>1325</v>
      </c>
      <c r="D16" s="57" t="s">
        <v>1326</v>
      </c>
      <c r="E16" s="56" t="s">
        <v>127</v>
      </c>
      <c r="F16" s="56" t="s">
        <v>865</v>
      </c>
      <c r="G16" s="56" t="s">
        <v>57</v>
      </c>
      <c r="H16" s="59"/>
      <c r="I16" s="60" t="s">
        <v>127</v>
      </c>
      <c r="J16" s="64"/>
      <c r="N16" s="76"/>
      <c r="O16" s="76"/>
      <c r="P16" s="76" t="str">
        <f t="shared" si="4"/>
        <v>,byomei_code</v>
      </c>
      <c r="Q16" s="76" t="str">
        <f t="shared" si="0"/>
        <v>TEXT</v>
      </c>
      <c r="R16" s="76" t="str">
        <f t="shared" si="1"/>
        <v/>
      </c>
      <c r="S16" s="76" t="str">
        <f t="shared" si="5"/>
        <v>NOT NULL</v>
      </c>
      <c r="T16" s="76" t="str">
        <f t="shared" si="6"/>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milscm_2023_009.sny_202310_backup_shikkan_first_criteria.byomei_code IS '病名コード値';</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ENT_01_02</v>
      </c>
      <c r="E6" s="240"/>
      <c r="F6" s="240"/>
      <c r="G6" s="240"/>
      <c r="H6" s="240"/>
      <c r="I6" s="240"/>
      <c r="J6" s="241"/>
    </row>
    <row r="7" spans="1:45">
      <c r="B7" s="229" t="s">
        <v>115</v>
      </c>
      <c r="C7" s="230"/>
      <c r="D7" s="231" t="s">
        <v>3677</v>
      </c>
      <c r="E7" s="232"/>
      <c r="F7" s="232"/>
      <c r="G7" s="232"/>
      <c r="H7" s="232"/>
      <c r="I7" s="232"/>
      <c r="J7" s="233"/>
    </row>
    <row r="8" spans="1:45">
      <c r="B8" s="229" t="s">
        <v>116</v>
      </c>
      <c r="C8" s="230"/>
      <c r="D8" s="231" t="str">
        <f>エンティティ一覧!AE2&amp;"_"&amp;D5&amp;"_kanja_first_criteria"</f>
        <v>sny_202310_backup_kanja_first_criteria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milscm_2023_009.sny_202310_backup_kanja_first_criteria;</v>
      </c>
      <c r="O10" s="76"/>
      <c r="P10" s="76"/>
      <c r="Q10" s="76"/>
      <c r="R10" s="76"/>
      <c r="S10" s="76"/>
      <c r="T10" s="76"/>
      <c r="AJ10" s="76" t="str">
        <f>"ALTER TABLE ONLY "&amp;エンティティ一覧!$O$2&amp;"."&amp;D$8</f>
        <v>ALTER TABLE ONLY milscm_2023_009.sny_202310_backup_kanja_first_criteria</v>
      </c>
      <c r="AS10" s="76" t="str">
        <f>"ALTER TABLE "&amp;エンティティ一覧!$O$2&amp;"."&amp;D$8&amp;" OWNER TO pgmisgrp1;"</f>
        <v>ALTER TABLE milscm_2023_009.sny_202310_backup_kanja_first_criteria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milscm_2023_009.sny_202310_backup_kanja_first_criteria</v>
      </c>
      <c r="O11" s="76"/>
      <c r="P11" s="76"/>
      <c r="Q11" s="76"/>
      <c r="R11" s="76"/>
      <c r="S11" s="76"/>
      <c r="T11" s="76"/>
      <c r="AJ11" s="76" t="str">
        <f>"ADD CONSTRAINT "&amp;D$8&amp;"_pkey PRIMARY KEY"</f>
        <v>ADD CONSTRAINT sny_202310_backup_kanja_first_criteria_pkey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2789</v>
      </c>
      <c r="D14" s="6" t="s">
        <v>2405</v>
      </c>
      <c r="E14" s="8"/>
      <c r="F14" s="7" t="s">
        <v>1823</v>
      </c>
      <c r="G14" s="7" t="str">
        <f t="shared" ref="G14" si="3">IF(F14="フラグ","boolean",IF(F14="文字列","text",IF(F14="整数","integer",IF(F14="実数","numeric",""))))</f>
        <v>text</v>
      </c>
      <c r="H14" s="26"/>
      <c r="I14" s="10" t="s">
        <v>127</v>
      </c>
      <c r="J14" s="11" t="s">
        <v>2795</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1846</v>
      </c>
      <c r="D15" s="6" t="s">
        <v>1847</v>
      </c>
      <c r="E15" s="8" t="s">
        <v>127</v>
      </c>
      <c r="F15" s="7" t="s">
        <v>1830</v>
      </c>
      <c r="G15" s="7" t="str">
        <f t="shared" ref="G15:G17" si="8">IF(F15="フラグ","boolean",IF(F15="文字列","text",IF(F15="整数","integer",IF(F15="実数","numeric",""))))</f>
        <v>text</v>
      </c>
      <c r="H15" s="26"/>
      <c r="I15" s="10" t="s">
        <v>127</v>
      </c>
      <c r="J15" s="11" t="s">
        <v>1848</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1822</v>
      </c>
      <c r="D16" s="6" t="s">
        <v>208</v>
      </c>
      <c r="E16" s="8" t="s">
        <v>127</v>
      </c>
      <c r="F16" s="7" t="s">
        <v>1823</v>
      </c>
      <c r="G16" s="7" t="str">
        <f t="shared" si="8"/>
        <v>text</v>
      </c>
      <c r="H16" s="26"/>
      <c r="I16" s="10" t="s">
        <v>127</v>
      </c>
      <c r="J16" s="11" t="s">
        <v>1826</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milscm_2023_009.sny_202310_backup_kanja_first_criteria.data_type IS 'データ種別';</v>
      </c>
    </row>
    <row r="17" spans="1:52" s="25" customFormat="1" ht="19.5" thickBot="1">
      <c r="A17" s="4"/>
      <c r="B17" s="27">
        <f>ROW()-12</f>
        <v>5</v>
      </c>
      <c r="C17" s="57" t="s">
        <v>1824</v>
      </c>
      <c r="D17" s="57" t="s">
        <v>1825</v>
      </c>
      <c r="E17" s="56" t="s">
        <v>127</v>
      </c>
      <c r="F17" s="56" t="s">
        <v>1739</v>
      </c>
      <c r="G17" s="56" t="str">
        <f t="shared" si="8"/>
        <v>text</v>
      </c>
      <c r="H17" s="59"/>
      <c r="I17" s="60" t="s">
        <v>127</v>
      </c>
      <c r="J17" s="64"/>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ENT_01_A1-02</v>
      </c>
      <c r="E6" s="240"/>
      <c r="F6" s="240"/>
      <c r="G6" s="240"/>
      <c r="H6" s="240"/>
      <c r="I6" s="240"/>
      <c r="J6" s="241"/>
    </row>
    <row r="7" spans="1:45">
      <c r="B7" s="229" t="s">
        <v>115</v>
      </c>
      <c r="C7" s="230"/>
      <c r="D7" s="231" t="s">
        <v>1737</v>
      </c>
      <c r="E7" s="232"/>
      <c r="F7" s="232"/>
      <c r="G7" s="232"/>
      <c r="H7" s="232"/>
      <c r="I7" s="232"/>
      <c r="J7" s="233"/>
    </row>
    <row r="8" spans="1:45">
      <c r="B8" s="229" t="s">
        <v>116</v>
      </c>
      <c r="C8" s="230"/>
      <c r="D8" s="231" t="str">
        <f>エンティティ一覧!AE2&amp;"_"&amp;D5&amp;"_mart_shohou"</f>
        <v>sny_202310_backup_mart_shohou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処方データテーブルから組入れ条件の第一条件で絞り込んだ結果を格納するテーブル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milscm_2023_009.sny_202310_backup_mart_shohou;</v>
      </c>
      <c r="O10" s="76"/>
      <c r="P10" s="76"/>
      <c r="Q10" s="76"/>
      <c r="R10" s="76"/>
      <c r="S10" s="76"/>
      <c r="T10" s="76"/>
      <c r="AJ10" s="76" t="str">
        <f>"ALTER TABLE ONLY "&amp;エンティティ一覧!$O$2&amp;"."&amp;D$8</f>
        <v>ALTER TABLE ONLY milscm_2023_009.sny_202310_backup_mart_shohou</v>
      </c>
      <c r="AS10" s="76" t="str">
        <f>"ALTER TABLE "&amp;エンティティ一覧!$O$2&amp;"."&amp;D$8&amp;" OWNER TO pgmisgrp1;"</f>
        <v>ALTER TABLE milscm_2023_009.sny_202310_backup_mart_shohou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milscm_2023_009.sny_202310_backup_mart_shohou</v>
      </c>
      <c r="O11" s="76"/>
      <c r="P11" s="76"/>
      <c r="Q11" s="76"/>
      <c r="R11" s="76"/>
      <c r="S11" s="76"/>
      <c r="T11" s="76"/>
      <c r="AJ11" s="76" t="str">
        <f>"ADD CONSTRAINT "&amp;D$8&amp;"_pkey PRIMARY KEY"</f>
        <v>ADD CONSTRAINT sny_202310_backup_mart_shohou_pkey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milscm_2023_009.sny_202310_backup_mart_shohou IS 'バックアップ_処方データ';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1739</v>
      </c>
      <c r="G14" s="7" t="str">
        <f t="shared" ref="G14:G32" si="3">IF(F14="フラグ","boolean",IF(F14="文字列","text",IF(F14="整数","integer",IF(F14="実数","numeric",""))))</f>
        <v>text</v>
      </c>
      <c r="H14" s="26"/>
      <c r="I14" s="10" t="s">
        <v>127</v>
      </c>
      <c r="J14" s="11" t="s">
        <v>1758</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milscm_2023_009.sny_202310_backup_mart_shohou.facility_id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milscm_2023_009.sny_202310_backup_mart_shohou.shinryo_ym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milscm_2023_009.sny_202310_backup_mart_shohou.junjo_no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milscm_2023_009.sny_202310_backup_mart_shohou.koi_meisai_no IS '行為明細番号';</v>
      </c>
    </row>
    <row r="19" spans="1:45" s="25" customFormat="1" ht="37.5">
      <c r="A19" s="4"/>
      <c r="B19" s="21">
        <f t="shared" si="2"/>
        <v>7</v>
      </c>
      <c r="C19" s="13" t="s">
        <v>145</v>
      </c>
      <c r="D19" s="13" t="s">
        <v>154</v>
      </c>
      <c r="E19" s="7"/>
      <c r="F19" s="7" t="s">
        <v>1739</v>
      </c>
      <c r="G19" s="7" t="str">
        <f t="shared" si="3"/>
        <v>text</v>
      </c>
      <c r="H19" s="58"/>
      <c r="I19" s="23"/>
      <c r="J19" s="24" t="s">
        <v>1760</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t="s">
        <v>1758</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1745</v>
      </c>
      <c r="D21" s="13" t="s">
        <v>129</v>
      </c>
      <c r="E21" s="7"/>
      <c r="F21" s="7" t="s">
        <v>1746</v>
      </c>
      <c r="G21" s="7" t="str">
        <f t="shared" si="3"/>
        <v>numeric</v>
      </c>
      <c r="H21" s="58"/>
      <c r="I21" s="23"/>
      <c r="J21" s="24" t="s">
        <v>1758</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milscm_2023_009.sny_202310_backup_mart_shohou.shiyoryo IS '使用量';</v>
      </c>
    </row>
    <row r="22" spans="1:45" s="25" customFormat="1">
      <c r="A22" s="4"/>
      <c r="B22" s="21">
        <f t="shared" si="2"/>
        <v>10</v>
      </c>
      <c r="C22" s="13" t="s">
        <v>1747</v>
      </c>
      <c r="D22" s="13" t="s">
        <v>276</v>
      </c>
      <c r="E22" s="7"/>
      <c r="F22" s="7" t="s">
        <v>1739</v>
      </c>
      <c r="G22" s="7" t="str">
        <f t="shared" si="3"/>
        <v>text</v>
      </c>
      <c r="H22" s="58"/>
      <c r="I22" s="23"/>
      <c r="J22" s="24" t="s">
        <v>1758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milscm_2023_009.sny_202310_backup_mart_shohou.unit IS '基準単位';</v>
      </c>
    </row>
    <row r="23" spans="1:45" s="25" customFormat="1">
      <c r="A23" s="4"/>
      <c r="B23" s="21">
        <f t="shared" si="2"/>
        <v>11</v>
      </c>
      <c r="C23" s="13" t="s">
        <v>1748</v>
      </c>
      <c r="D23" s="13" t="s">
        <v>130</v>
      </c>
      <c r="E23" s="7"/>
      <c r="F23" s="7" t="s">
        <v>1746</v>
      </c>
      <c r="G23" s="7" t="str">
        <f t="shared" si="3"/>
        <v>numeric</v>
      </c>
      <c r="H23" s="58"/>
      <c r="I23" s="23"/>
      <c r="J23" s="24" t="s">
        <v>1758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milscm_2023_009.sny_202310_backup_mart_shohou.meisai_tensu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milscm_2023_009.sny_202310_backup_mart_shohou.ten_kubun IS '円・点区分';</v>
      </c>
    </row>
    <row r="25" spans="1:45" s="25" customFormat="1">
      <c r="A25" s="4"/>
      <c r="B25" s="21">
        <f t="shared" si="2"/>
        <v>13</v>
      </c>
      <c r="C25" s="13" t="s">
        <v>1750</v>
      </c>
      <c r="D25" s="13" t="s">
        <v>132</v>
      </c>
      <c r="E25" s="7"/>
      <c r="F25" s="7" t="s">
        <v>1739</v>
      </c>
      <c r="G25" s="7" t="str">
        <f t="shared" si="3"/>
        <v>text</v>
      </c>
      <c r="H25" s="58"/>
      <c r="I25" s="23"/>
      <c r="J25" s="24" t="s">
        <v>1758</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1751</v>
      </c>
      <c r="D26" s="13" t="s">
        <v>133</v>
      </c>
      <c r="E26" s="7"/>
      <c r="F26" s="7" t="s">
        <v>1746</v>
      </c>
      <c r="G26" s="7" t="str">
        <f t="shared" si="3"/>
        <v>numeric</v>
      </c>
      <c r="H26" s="58"/>
      <c r="I26" s="23"/>
      <c r="J26" s="24" t="s">
        <v>1758</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milscm_2023_009.sny_202310_backup_mart_shohou.koi_times IS '行為回数';</v>
      </c>
    </row>
    <row r="27" spans="1:45" s="25" customFormat="1">
      <c r="A27" s="4"/>
      <c r="B27" s="21">
        <f t="shared" si="2"/>
        <v>15</v>
      </c>
      <c r="C27" s="13" t="s">
        <v>1752</v>
      </c>
      <c r="D27" s="13" t="s">
        <v>233</v>
      </c>
      <c r="E27" s="7"/>
      <c r="F27" s="7" t="s">
        <v>1739</v>
      </c>
      <c r="G27" s="7" t="str">
        <f t="shared" si="3"/>
        <v>text</v>
      </c>
      <c r="H27" s="58"/>
      <c r="I27" s="23"/>
      <c r="J27" s="24" t="s">
        <v>1758</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1753</v>
      </c>
      <c r="D28" s="13" t="s">
        <v>155</v>
      </c>
      <c r="E28" s="7" t="s">
        <v>127</v>
      </c>
      <c r="F28" s="7" t="s">
        <v>1739</v>
      </c>
      <c r="G28" s="7" t="str">
        <f t="shared" si="3"/>
        <v>text</v>
      </c>
      <c r="H28" s="58"/>
      <c r="I28" s="23" t="s">
        <v>127</v>
      </c>
      <c r="J28" s="24" t="s">
        <v>1758</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1754</v>
      </c>
      <c r="D29" s="13" t="s">
        <v>235</v>
      </c>
      <c r="E29" s="7"/>
      <c r="F29" s="7" t="s">
        <v>1739</v>
      </c>
      <c r="G29" s="7" t="str">
        <f t="shared" si="3"/>
        <v>text</v>
      </c>
      <c r="H29" s="58"/>
      <c r="I29" s="23"/>
      <c r="J29" s="24" t="s">
        <v>1758</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1739</v>
      </c>
      <c r="G30" s="7" t="str">
        <f t="shared" si="3"/>
        <v>text</v>
      </c>
      <c r="H30" s="58"/>
      <c r="I30" s="23"/>
      <c r="J30" s="24" t="s">
        <v>1758</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milscm_2023_009.sny_202310_backup_mart_shohou.department_kubun IS '診療科区分';</v>
      </c>
    </row>
    <row r="31" spans="1:45" s="25" customFormat="1" ht="37.5">
      <c r="A31" s="4"/>
      <c r="B31" s="21">
        <f t="shared" si="2"/>
        <v>19</v>
      </c>
      <c r="C31" s="13" t="s">
        <v>1755</v>
      </c>
      <c r="D31" s="13" t="s">
        <v>243</v>
      </c>
      <c r="E31" s="7"/>
      <c r="F31" s="7" t="s">
        <v>1739</v>
      </c>
      <c r="G31" s="7" t="str">
        <f t="shared" si="3"/>
        <v>text</v>
      </c>
      <c r="H31" s="58"/>
      <c r="I31" s="23"/>
      <c r="J31" s="24" t="s">
        <v>1762</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milscm_2023_009.sny_202310_backup_mart_shohou.nyugai_kubun IS '入外区分';</v>
      </c>
    </row>
    <row r="32" spans="1:45" s="25" customFormat="1" ht="19.5" thickBot="1">
      <c r="A32" s="4"/>
      <c r="B32" s="27">
        <f>ROW()-12</f>
        <v>20</v>
      </c>
      <c r="C32" s="57" t="s">
        <v>1756</v>
      </c>
      <c r="D32" s="57" t="s">
        <v>1757</v>
      </c>
      <c r="E32" s="56" t="s">
        <v>127</v>
      </c>
      <c r="F32" s="56" t="s">
        <v>204</v>
      </c>
      <c r="G32" s="56" t="str">
        <f t="shared" si="3"/>
        <v>integer</v>
      </c>
      <c r="H32" s="59"/>
      <c r="I32" s="60"/>
      <c r="J32" s="64" t="s">
        <v>1763</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ENT_01_A1-03</v>
      </c>
      <c r="E6" s="240"/>
      <c r="F6" s="240"/>
      <c r="G6" s="240"/>
      <c r="H6" s="240"/>
      <c r="I6" s="240"/>
      <c r="J6" s="241"/>
    </row>
    <row r="7" spans="1:45">
      <c r="B7" s="229" t="s">
        <v>115</v>
      </c>
      <c r="C7" s="230"/>
      <c r="D7" s="231" t="s">
        <v>1764</v>
      </c>
      <c r="E7" s="232"/>
      <c r="F7" s="232"/>
      <c r="G7" s="232"/>
      <c r="H7" s="232"/>
      <c r="I7" s="232"/>
      <c r="J7" s="233"/>
    </row>
    <row r="8" spans="1:45">
      <c r="B8" s="229" t="s">
        <v>116</v>
      </c>
      <c r="C8" s="230"/>
      <c r="D8" s="231" t="str">
        <f>エンティティ一覧!AE2&amp;"_"&amp;D5&amp;"_mart_shinryou_koui"</f>
        <v>sny_202310_backup_mart_shinryou_koui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milscm_2023_009.sny_202310_backup_mart_shinryou_koui;</v>
      </c>
      <c r="O10" s="76"/>
      <c r="P10" s="76"/>
      <c r="Q10" s="76"/>
      <c r="R10" s="76"/>
      <c r="S10" s="76"/>
      <c r="T10" s="76"/>
      <c r="AJ10" s="76" t="str">
        <f>"ALTER TABLE ONLY "&amp;エンティティ一覧!$O$2&amp;"."&amp;D$8</f>
        <v>ALTER TABLE ONLY milscm_2023_009.sny_202310_backup_mart_shinryou_koui</v>
      </c>
      <c r="AS10" s="76" t="str">
        <f>"ALTER TABLE "&amp;エンティティ一覧!$O$2&amp;"."&amp;D$8&amp;" OWNER TO pgmisgrp1;"</f>
        <v>ALTER TABLE milscm_2023_009.sny_202310_backup_mart_shinryou_koui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milscm_2023_009.sny_202310_backup_mart_shinryou_koui</v>
      </c>
      <c r="O11" s="76"/>
      <c r="P11" s="76"/>
      <c r="Q11" s="76"/>
      <c r="R11" s="76"/>
      <c r="S11" s="76"/>
      <c r="T11" s="76"/>
      <c r="AJ11" s="76" t="str">
        <f>"ADD CONSTRAINT "&amp;D$8&amp;"_pkey PRIMARY KEY"</f>
        <v>ADD CONSTRAINT sny_202310_backup_mart_shinryou_koui_pkey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1739</v>
      </c>
      <c r="G14" s="7" t="str">
        <f t="shared" ref="G14:G36" si="3">IF(F14="フラグ","boolean",IF(F14="文字列","text",IF(F14="整数","integer",IF(F14="実数","numeric",""))))</f>
        <v>text</v>
      </c>
      <c r="H14" s="26"/>
      <c r="I14" s="10" t="s">
        <v>127</v>
      </c>
      <c r="J14" s="11" t="s">
        <v>1758</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milscm_2023_009.sny_202310_backup_mart_shinryou_koui.junjo_no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milscm_2023_009.sny_202310_backup_mart_shinryou_koui.koi_meisai_no IS '行為明細番号';</v>
      </c>
    </row>
    <row r="19" spans="1:45" s="25" customFormat="1" ht="37.5">
      <c r="A19" s="4"/>
      <c r="B19" s="21">
        <f t="shared" si="2"/>
        <v>7</v>
      </c>
      <c r="C19" s="13" t="s">
        <v>145</v>
      </c>
      <c r="D19" s="13" t="s">
        <v>154</v>
      </c>
      <c r="E19" s="7"/>
      <c r="F19" s="7" t="s">
        <v>1739</v>
      </c>
      <c r="G19" s="7" t="str">
        <f t="shared" si="3"/>
        <v>text</v>
      </c>
      <c r="H19" s="58"/>
      <c r="I19" s="23"/>
      <c r="J19" s="24" t="s">
        <v>1769</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milscm_2023_009.sny_202310_backup_mart_shinryou_koui.kaishaku_no IS '解釈番号';</v>
      </c>
    </row>
    <row r="21" spans="1:45" s="25" customFormat="1" ht="37.5">
      <c r="A21" s="4"/>
      <c r="B21" s="21">
        <f t="shared" si="2"/>
        <v>9</v>
      </c>
      <c r="C21" s="13" t="s">
        <v>1745</v>
      </c>
      <c r="D21" s="13" t="s">
        <v>129</v>
      </c>
      <c r="E21" s="7"/>
      <c r="F21" s="7" t="s">
        <v>1746</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1747</v>
      </c>
      <c r="D22" s="13" t="s">
        <v>276</v>
      </c>
      <c r="E22" s="7"/>
      <c r="F22" s="7" t="s">
        <v>1739</v>
      </c>
      <c r="G22" s="7" t="str">
        <f t="shared" si="3"/>
        <v>text</v>
      </c>
      <c r="H22" s="58"/>
      <c r="I22" s="23"/>
      <c r="J22" s="24" t="s">
        <v>1770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1748</v>
      </c>
      <c r="D23" s="13" t="s">
        <v>130</v>
      </c>
      <c r="E23" s="7"/>
      <c r="F23" s="7" t="s">
        <v>1746</v>
      </c>
      <c r="G23" s="7" t="str">
        <f t="shared" si="3"/>
        <v>numeric</v>
      </c>
      <c r="H23" s="58"/>
      <c r="I23" s="23"/>
      <c r="J23" s="24" t="s">
        <v>1770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milscm_2023_009.sny_202310_backup_mart_shinryou_koui.meisai_tensu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1765</v>
      </c>
      <c r="D25" s="13" t="s">
        <v>280</v>
      </c>
      <c r="E25" s="7"/>
      <c r="F25" s="7" t="s">
        <v>1746</v>
      </c>
      <c r="G25" s="7" t="str">
        <f t="shared" si="3"/>
        <v>numeric</v>
      </c>
      <c r="H25" s="58"/>
      <c r="I25" s="23"/>
      <c r="J25" s="24" t="s">
        <v>1770</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milscm_2023_009.sny_202310_backup_mart_shinryou_koui.dekidaka_tensu IS '出来高実績点数';</v>
      </c>
    </row>
    <row r="26" spans="1:45" s="25" customFormat="1" ht="56.25">
      <c r="A26" s="4"/>
      <c r="B26" s="21">
        <f t="shared" si="2"/>
        <v>14</v>
      </c>
      <c r="C26" s="13" t="s">
        <v>1750</v>
      </c>
      <c r="D26" s="13" t="s">
        <v>132</v>
      </c>
      <c r="E26" s="7"/>
      <c r="F26" s="7" t="s">
        <v>1739</v>
      </c>
      <c r="G26" s="7" t="str">
        <f t="shared" si="3"/>
        <v>text</v>
      </c>
      <c r="H26" s="58"/>
      <c r="I26" s="23"/>
      <c r="J26" s="24" t="s">
        <v>1771</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milscm_2023_009.sny_202310_backup_mart_shinryou_koui.koi_meisai_kubun IS '行為明細区分情報';</v>
      </c>
    </row>
    <row r="27" spans="1:45" s="25" customFormat="1" ht="37.5">
      <c r="A27" s="4"/>
      <c r="B27" s="21">
        <f t="shared" si="2"/>
        <v>15</v>
      </c>
      <c r="C27" s="13" t="s">
        <v>1766</v>
      </c>
      <c r="D27" s="13" t="s">
        <v>224</v>
      </c>
      <c r="E27" s="7"/>
      <c r="F27" s="7" t="s">
        <v>1746</v>
      </c>
      <c r="G27" s="7" t="str">
        <f t="shared" si="3"/>
        <v>numeric</v>
      </c>
      <c r="H27" s="58"/>
      <c r="I27" s="23"/>
      <c r="J27" s="24" t="s">
        <v>1772</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1767</v>
      </c>
      <c r="D28" s="13" t="s">
        <v>227</v>
      </c>
      <c r="E28" s="7"/>
      <c r="F28" s="7" t="s">
        <v>1746</v>
      </c>
      <c r="G28" s="7" t="str">
        <f t="shared" si="3"/>
        <v>numeric</v>
      </c>
      <c r="H28" s="58"/>
      <c r="I28" s="23"/>
      <c r="J28" s="24" t="s">
        <v>1770</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1768</v>
      </c>
      <c r="D29" s="13" t="s">
        <v>229</v>
      </c>
      <c r="E29" s="7"/>
      <c r="F29" s="7" t="s">
        <v>1746</v>
      </c>
      <c r="G29" s="7" t="str">
        <f t="shared" si="3"/>
        <v>numeric</v>
      </c>
      <c r="H29" s="58"/>
      <c r="I29" s="23"/>
      <c r="J29" s="24" t="s">
        <v>1770</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1751</v>
      </c>
      <c r="D30" s="13" t="s">
        <v>133</v>
      </c>
      <c r="E30" s="7"/>
      <c r="F30" s="7" t="s">
        <v>1746</v>
      </c>
      <c r="G30" s="7" t="str">
        <f t="shared" si="3"/>
        <v>numeric</v>
      </c>
      <c r="H30" s="58"/>
      <c r="I30" s="23"/>
      <c r="J30" s="24" t="s">
        <v>1770</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1752</v>
      </c>
      <c r="D31" s="13" t="s">
        <v>233</v>
      </c>
      <c r="E31" s="7"/>
      <c r="F31" s="7" t="s">
        <v>1739</v>
      </c>
      <c r="G31" s="7" t="str">
        <f t="shared" ref="G31:G34" si="7">IF(F31="フラグ","boolean",IF(F31="文字列","text",IF(F31="整数","integer",IF(F31="実数","numeric",""))))</f>
        <v>text</v>
      </c>
      <c r="H31" s="58"/>
      <c r="I31" s="23"/>
      <c r="J31" s="24" t="s">
        <v>1770</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1753</v>
      </c>
      <c r="D32" s="13" t="s">
        <v>155</v>
      </c>
      <c r="E32" s="7" t="s">
        <v>127</v>
      </c>
      <c r="F32" s="7" t="s">
        <v>1739</v>
      </c>
      <c r="G32" s="7" t="str">
        <f t="shared" si="7"/>
        <v>text</v>
      </c>
      <c r="H32" s="58"/>
      <c r="I32" s="23" t="s">
        <v>127</v>
      </c>
      <c r="J32" s="24" t="s">
        <v>1770</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1754</v>
      </c>
      <c r="D33" s="13" t="s">
        <v>235</v>
      </c>
      <c r="E33" s="7"/>
      <c r="F33" s="7" t="s">
        <v>1739</v>
      </c>
      <c r="G33" s="7" t="str">
        <f t="shared" si="7"/>
        <v>text</v>
      </c>
      <c r="H33" s="58"/>
      <c r="I33" s="23"/>
      <c r="J33" s="24" t="s">
        <v>1770</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1739</v>
      </c>
      <c r="G34" s="7" t="str">
        <f t="shared" si="7"/>
        <v>text</v>
      </c>
      <c r="H34" s="58"/>
      <c r="I34" s="23"/>
      <c r="J34" s="24" t="s">
        <v>1770</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milscm_2023_009.sny_202310_backup_mart_shinryou_koui.department_kubun IS '診療科区分';</v>
      </c>
    </row>
    <row r="35" spans="1:52" s="25" customFormat="1" ht="37.5">
      <c r="A35" s="4"/>
      <c r="B35" s="21">
        <f t="shared" si="2"/>
        <v>23</v>
      </c>
      <c r="C35" s="13" t="s">
        <v>1755</v>
      </c>
      <c r="D35" s="13" t="s">
        <v>243</v>
      </c>
      <c r="E35" s="7"/>
      <c r="F35" s="7" t="s">
        <v>1739</v>
      </c>
      <c r="G35" s="7" t="str">
        <f t="shared" si="3"/>
        <v>text</v>
      </c>
      <c r="H35" s="58"/>
      <c r="I35" s="23"/>
      <c r="J35" s="24" t="s">
        <v>1762</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milscm_2023_009.sny_202310_backup_mart_shinryou_koui.nyugai_kubun IS '入外区分';</v>
      </c>
    </row>
    <row r="36" spans="1:52" s="25" customFormat="1" ht="19.5" thickBot="1">
      <c r="A36" s="4"/>
      <c r="B36" s="27">
        <f>ROW()-12</f>
        <v>24</v>
      </c>
      <c r="C36" s="57" t="s">
        <v>1756</v>
      </c>
      <c r="D36" s="57" t="s">
        <v>1757</v>
      </c>
      <c r="E36" s="56" t="s">
        <v>127</v>
      </c>
      <c r="F36" s="56" t="s">
        <v>204</v>
      </c>
      <c r="G36" s="56" t="str">
        <f t="shared" si="3"/>
        <v>integer</v>
      </c>
      <c r="H36" s="59"/>
      <c r="I36" s="60"/>
      <c r="J36" s="64" t="s">
        <v>1763</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ENT_01_A1-04</v>
      </c>
      <c r="E6" s="240"/>
      <c r="F6" s="240"/>
      <c r="G6" s="240"/>
      <c r="H6" s="240"/>
      <c r="I6" s="240"/>
      <c r="J6" s="241"/>
    </row>
    <row r="7" spans="1:45">
      <c r="B7" s="229" t="s">
        <v>115</v>
      </c>
      <c r="C7" s="230"/>
      <c r="D7" s="231" t="s">
        <v>1773</v>
      </c>
      <c r="E7" s="232"/>
      <c r="F7" s="232"/>
      <c r="G7" s="232"/>
      <c r="H7" s="232"/>
      <c r="I7" s="232"/>
      <c r="J7" s="233"/>
    </row>
    <row r="8" spans="1:45">
      <c r="B8" s="229" t="s">
        <v>116</v>
      </c>
      <c r="C8" s="230"/>
      <c r="D8" s="231" t="str">
        <f>エンティティ一覧!AE2&amp;"_"&amp;D5&amp;"_mart_shikkan"</f>
        <v>sny_202310_backup_mart_shikkan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疾患データテーブルから組入れ条件の第一条件で絞り込んだ結果を格納するテーブル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milscm_2023_009.sny_202310_backup_mart_shikkan;</v>
      </c>
      <c r="O10" s="76"/>
      <c r="P10" s="76"/>
      <c r="Q10" s="76"/>
      <c r="R10" s="76"/>
      <c r="S10" s="76"/>
      <c r="T10" s="76"/>
      <c r="AJ10" s="76" t="str">
        <f>"ALTER TABLE ONLY "&amp;エンティティ一覧!$O$2&amp;"."&amp;D$8</f>
        <v>ALTER TABLE ONLY milscm_2023_009.sny_202310_backup_mart_shikkan</v>
      </c>
      <c r="AS10" s="76" t="str">
        <f>"ALTER TABLE "&amp;エンティティ一覧!$O$2&amp;"."&amp;D$8&amp;" OWNER TO pgmisgrp1;"</f>
        <v>ALTER TABLE milscm_2023_009.sny_202310_backup_mart_shikkan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milscm_2023_009.sny_202310_backup_mart_shikkan</v>
      </c>
      <c r="O11" s="76"/>
      <c r="P11" s="76"/>
      <c r="Q11" s="76"/>
      <c r="R11" s="76"/>
      <c r="S11" s="76"/>
      <c r="T11" s="76"/>
      <c r="AJ11" s="76" t="str">
        <f>"ADD CONSTRAINT "&amp;D$8&amp;"_pkey PRIMARY KEY"</f>
        <v>ADD CONSTRAINT sny_202310_backup_mart_shikkan_pkey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 IS 'バックアップ_疾患データ';</v>
      </c>
    </row>
    <row r="13" spans="1:45" s="25" customFormat="1">
      <c r="A13" s="4"/>
      <c r="B13" s="21">
        <f>ROW()-12</f>
        <v>1</v>
      </c>
      <c r="C13" s="6" t="s">
        <v>1774</v>
      </c>
      <c r="D13" s="6" t="s">
        <v>200</v>
      </c>
      <c r="E13" s="8"/>
      <c r="F13" s="8" t="s">
        <v>1739</v>
      </c>
      <c r="G13" s="7" t="str">
        <f>IF(F13="フラグ","boolean",IF(F13="文字列","text",IF(F13="整数","integer",IF(F13="実数","numeric",""))))</f>
        <v>text</v>
      </c>
      <c r="H13" s="9"/>
      <c r="I13" s="10" t="s">
        <v>127</v>
      </c>
      <c r="J13" s="11" t="s">
        <v>1786</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1739</v>
      </c>
      <c r="G14" s="7" t="str">
        <f t="shared" ref="G14:G59" si="3">IF(F14="フラグ","boolean",IF(F14="文字列","text",IF(F14="整数","integer",IF(F14="実数","numeric",""))))</f>
        <v>text</v>
      </c>
      <c r="H14" s="26"/>
      <c r="I14" s="10" t="s">
        <v>127</v>
      </c>
      <c r="J14" s="11" t="s">
        <v>1787</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milscm_2023_009.sny_202310_backup_mart_shikkan.facility_id IS '施設ID';</v>
      </c>
    </row>
    <row r="15" spans="1:45" s="25" customFormat="1">
      <c r="A15" s="4"/>
      <c r="B15" s="21">
        <f t="shared" si="2"/>
        <v>3</v>
      </c>
      <c r="C15" s="13" t="s">
        <v>1775</v>
      </c>
      <c r="D15" s="13" t="s">
        <v>907</v>
      </c>
      <c r="E15" s="7" t="s">
        <v>127</v>
      </c>
      <c r="F15" s="7" t="s">
        <v>1739</v>
      </c>
      <c r="G15" s="7" t="str">
        <f t="shared" si="3"/>
        <v>text</v>
      </c>
      <c r="H15" s="58"/>
      <c r="I15" s="23" t="s">
        <v>127</v>
      </c>
      <c r="J15" s="24" t="s">
        <v>1788</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milscm_2023_009.sny_202310_backup_mart_shikkan.seikyu_ym IS '請求年月';</v>
      </c>
    </row>
    <row r="16" spans="1:45" s="25" customFormat="1">
      <c r="A16" s="4"/>
      <c r="B16" s="21">
        <f t="shared" si="2"/>
        <v>4</v>
      </c>
      <c r="C16" s="13" t="s">
        <v>1740</v>
      </c>
      <c r="D16" s="13" t="s">
        <v>206</v>
      </c>
      <c r="E16" s="7" t="s">
        <v>127</v>
      </c>
      <c r="F16" s="7" t="s">
        <v>1739</v>
      </c>
      <c r="G16" s="7" t="str">
        <f t="shared" si="3"/>
        <v>text</v>
      </c>
      <c r="H16" s="58"/>
      <c r="I16" s="23" t="s">
        <v>127</v>
      </c>
      <c r="J16" s="24" t="s">
        <v>1789</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1739</v>
      </c>
      <c r="G17" s="7" t="str">
        <f t="shared" ref="G17:G40" si="7">IF(F17="フラグ","boolean",IF(F17="文字列","text",IF(F17="整数","integer",IF(F17="実数","numeric",""))))</f>
        <v>text</v>
      </c>
      <c r="H17" s="58" t="s">
        <v>934</v>
      </c>
      <c r="I17" s="23" t="s">
        <v>127</v>
      </c>
      <c r="J17" s="24" t="s">
        <v>1790</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908</v>
      </c>
      <c r="D18" s="13" t="s">
        <v>909</v>
      </c>
      <c r="E18" s="7" t="s">
        <v>127</v>
      </c>
      <c r="F18" s="7" t="s">
        <v>1739</v>
      </c>
      <c r="G18" s="7" t="str">
        <f t="shared" si="7"/>
        <v>text</v>
      </c>
      <c r="H18" s="58"/>
      <c r="I18" s="23" t="s">
        <v>127</v>
      </c>
      <c r="J18" s="24" t="s">
        <v>1059</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milscm_2023_009.sny_202310_backup_mart_shikkan.shinsa_kikan IS '審査支払機関';</v>
      </c>
    </row>
    <row r="19" spans="1:45" s="25" customFormat="1" ht="56.25">
      <c r="A19" s="4"/>
      <c r="B19" s="21">
        <f t="shared" si="2"/>
        <v>7</v>
      </c>
      <c r="C19" s="13" t="s">
        <v>1776</v>
      </c>
      <c r="D19" s="13" t="s">
        <v>1777</v>
      </c>
      <c r="E19" s="7" t="s">
        <v>127</v>
      </c>
      <c r="F19" s="7" t="s">
        <v>1739</v>
      </c>
      <c r="G19" s="7" t="str">
        <f t="shared" si="7"/>
        <v>text</v>
      </c>
      <c r="H19" s="58"/>
      <c r="I19" s="23" t="s">
        <v>127</v>
      </c>
      <c r="J19" s="24" t="s">
        <v>1791</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1778</v>
      </c>
      <c r="D20" s="13" t="s">
        <v>913</v>
      </c>
      <c r="E20" s="7" t="s">
        <v>127</v>
      </c>
      <c r="F20" s="7" t="s">
        <v>204</v>
      </c>
      <c r="G20" s="7" t="str">
        <f t="shared" si="7"/>
        <v>integer</v>
      </c>
      <c r="H20" s="58"/>
      <c r="I20" s="23" t="s">
        <v>127</v>
      </c>
      <c r="J20" s="24" t="s">
        <v>1792</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1779</v>
      </c>
      <c r="D21" s="13" t="s">
        <v>915</v>
      </c>
      <c r="E21" s="7" t="s">
        <v>127</v>
      </c>
      <c r="F21" s="7" t="s">
        <v>204</v>
      </c>
      <c r="G21" s="7" t="str">
        <f t="shared" si="7"/>
        <v>integer</v>
      </c>
      <c r="H21" s="58"/>
      <c r="I21" s="23" t="s">
        <v>127</v>
      </c>
      <c r="J21" s="24" t="s">
        <v>1793</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milscm_2023_009.sny_202310_backup_mart_shikkan.gyo_no IS '行番号';</v>
      </c>
    </row>
    <row r="22" spans="1:45" s="25" customFormat="1">
      <c r="A22" s="4"/>
      <c r="B22" s="21">
        <f t="shared" si="2"/>
        <v>10</v>
      </c>
      <c r="C22" s="13" t="s">
        <v>1780</v>
      </c>
      <c r="D22" s="13" t="s">
        <v>917</v>
      </c>
      <c r="E22" s="7" t="s">
        <v>127</v>
      </c>
      <c r="F22" s="7" t="s">
        <v>1739</v>
      </c>
      <c r="G22" s="7" t="str">
        <f t="shared" si="7"/>
        <v>text</v>
      </c>
      <c r="H22" s="58"/>
      <c r="I22" s="23" t="s">
        <v>127</v>
      </c>
      <c r="J22" s="24" t="s">
        <v>1794</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milscm_2023_009.sny_202310_backup_mart_shikkan.karute_no IS 'カルテ番号等';</v>
      </c>
    </row>
    <row r="23" spans="1:45" s="25" customFormat="1">
      <c r="A23" s="4"/>
      <c r="B23" s="21">
        <f t="shared" si="2"/>
        <v>11</v>
      </c>
      <c r="C23" s="13" t="s">
        <v>1781</v>
      </c>
      <c r="D23" s="13" t="s">
        <v>1201</v>
      </c>
      <c r="E23" s="7"/>
      <c r="F23" s="7" t="s">
        <v>1739</v>
      </c>
      <c r="G23" s="7" t="str">
        <f t="shared" si="7"/>
        <v>text</v>
      </c>
      <c r="H23" s="58"/>
      <c r="I23" s="23"/>
      <c r="J23" s="24" t="s">
        <v>1795</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665</v>
      </c>
      <c r="D24" s="13" t="s">
        <v>872</v>
      </c>
      <c r="E24" s="7"/>
      <c r="F24" s="7" t="s">
        <v>1739</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1074</v>
      </c>
      <c r="D25" s="13" t="s">
        <v>1075</v>
      </c>
      <c r="E25" s="7"/>
      <c r="F25" s="7" t="s">
        <v>1739</v>
      </c>
      <c r="G25" s="7" t="str">
        <f t="shared" si="7"/>
        <v>text</v>
      </c>
      <c r="H25" s="58"/>
      <c r="I25" s="23"/>
      <c r="J25" s="24" t="s">
        <v>1796</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1076</v>
      </c>
      <c r="D26" s="13" t="s">
        <v>1077</v>
      </c>
      <c r="E26" s="7"/>
      <c r="F26" s="7" t="s">
        <v>1739</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667</v>
      </c>
      <c r="D27" s="13" t="s">
        <v>873</v>
      </c>
      <c r="E27" s="7"/>
      <c r="F27" s="7" t="s">
        <v>1739</v>
      </c>
      <c r="G27" s="7" t="str">
        <f t="shared" si="7"/>
        <v>text</v>
      </c>
      <c r="H27" s="58"/>
      <c r="I27" s="23"/>
      <c r="J27" s="24" t="s">
        <v>1797</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669</v>
      </c>
      <c r="D28" s="13" t="s">
        <v>874</v>
      </c>
      <c r="E28" s="7"/>
      <c r="F28" s="7" t="s">
        <v>1739</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671</v>
      </c>
      <c r="D29" s="13" t="s">
        <v>875</v>
      </c>
      <c r="E29" s="7"/>
      <c r="F29" s="7" t="s">
        <v>1739</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673</v>
      </c>
      <c r="D30" s="13" t="s">
        <v>876</v>
      </c>
      <c r="E30" s="7"/>
      <c r="F30" s="7" t="s">
        <v>1739</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1078</v>
      </c>
      <c r="D31" s="13" t="s">
        <v>1079</v>
      </c>
      <c r="E31" s="7"/>
      <c r="F31" s="7" t="s">
        <v>1739</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1080</v>
      </c>
      <c r="D32" s="13" t="s">
        <v>1081</v>
      </c>
      <c r="E32" s="7"/>
      <c r="F32" s="7" t="s">
        <v>1739</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1082</v>
      </c>
      <c r="D33" s="13" t="s">
        <v>1083</v>
      </c>
      <c r="E33" s="7"/>
      <c r="F33" s="7" t="s">
        <v>1739</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1084</v>
      </c>
      <c r="D34" s="13" t="s">
        <v>1085</v>
      </c>
      <c r="E34" s="7"/>
      <c r="F34" s="7" t="s">
        <v>1739</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1086</v>
      </c>
      <c r="D35" s="13" t="s">
        <v>1087</v>
      </c>
      <c r="E35" s="7"/>
      <c r="F35" s="7" t="s">
        <v>1739</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1088</v>
      </c>
      <c r="D36" s="13" t="s">
        <v>1089</v>
      </c>
      <c r="E36" s="7"/>
      <c r="F36" s="7" t="s">
        <v>1739</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1090</v>
      </c>
      <c r="D37" s="13" t="s">
        <v>1091</v>
      </c>
      <c r="E37" s="7"/>
      <c r="F37" s="7" t="s">
        <v>1739</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1092</v>
      </c>
      <c r="D38" s="13" t="s">
        <v>1093</v>
      </c>
      <c r="E38" s="7"/>
      <c r="F38" s="7" t="s">
        <v>1739</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1094</v>
      </c>
      <c r="D39" s="13" t="s">
        <v>1095</v>
      </c>
      <c r="E39" s="7"/>
      <c r="F39" s="7" t="s">
        <v>1739</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1096</v>
      </c>
      <c r="D40" s="13" t="s">
        <v>1097</v>
      </c>
      <c r="E40" s="7"/>
      <c r="F40" s="7" t="s">
        <v>1739</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1098</v>
      </c>
      <c r="D41" s="13" t="s">
        <v>1099</v>
      </c>
      <c r="E41" s="7"/>
      <c r="F41" s="7" t="s">
        <v>1739</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1100</v>
      </c>
      <c r="D42" s="13" t="s">
        <v>1101</v>
      </c>
      <c r="E42" s="7"/>
      <c r="F42" s="7" t="s">
        <v>1739</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1102</v>
      </c>
      <c r="D43" s="13" t="s">
        <v>1103</v>
      </c>
      <c r="E43" s="7"/>
      <c r="F43" s="7" t="s">
        <v>1739</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1104</v>
      </c>
      <c r="D44" s="13" t="s">
        <v>1105</v>
      </c>
      <c r="E44" s="7"/>
      <c r="F44" s="7" t="s">
        <v>1739</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1106</v>
      </c>
      <c r="D45" s="13" t="s">
        <v>1107</v>
      </c>
      <c r="E45" s="7"/>
      <c r="F45" s="7" t="s">
        <v>1739</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1108</v>
      </c>
      <c r="D46" s="13" t="s">
        <v>1109</v>
      </c>
      <c r="E46" s="7"/>
      <c r="F46" s="7" t="s">
        <v>1739</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1110</v>
      </c>
      <c r="D47" s="13" t="s">
        <v>1111</v>
      </c>
      <c r="E47" s="7"/>
      <c r="F47" s="7" t="s">
        <v>1739</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1112</v>
      </c>
      <c r="D48" s="13" t="s">
        <v>1113</v>
      </c>
      <c r="E48" s="7"/>
      <c r="F48" s="7" t="s">
        <v>1739</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663</v>
      </c>
      <c r="D49" s="13" t="s">
        <v>871</v>
      </c>
      <c r="E49" s="7"/>
      <c r="F49" s="7" t="s">
        <v>1739</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1225</v>
      </c>
      <c r="D50" s="13" t="s">
        <v>1226</v>
      </c>
      <c r="E50" s="7"/>
      <c r="F50" s="7" t="s">
        <v>1739</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1212</v>
      </c>
      <c r="D51" s="13" t="s">
        <v>1213</v>
      </c>
      <c r="E51" s="7"/>
      <c r="F51" s="7" t="s">
        <v>1782</v>
      </c>
      <c r="G51" s="7" t="str">
        <f t="shared" si="3"/>
        <v>text</v>
      </c>
      <c r="H51" s="58"/>
      <c r="I51" s="23"/>
      <c r="J51" s="24" t="s">
        <v>1796</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1214</v>
      </c>
      <c r="D52" s="13" t="s">
        <v>1215</v>
      </c>
      <c r="E52" s="7"/>
      <c r="F52" s="7" t="s">
        <v>1782</v>
      </c>
      <c r="G52" s="7" t="str">
        <f t="shared" si="3"/>
        <v>text</v>
      </c>
      <c r="H52" s="58"/>
      <c r="I52" s="23"/>
      <c r="J52" s="24" t="s">
        <v>1796</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1216</v>
      </c>
      <c r="D53" s="13" t="s">
        <v>1217</v>
      </c>
      <c r="E53" s="7"/>
      <c r="F53" s="7" t="s">
        <v>1782</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1218</v>
      </c>
      <c r="D54" s="13" t="s">
        <v>1219</v>
      </c>
      <c r="E54" s="7"/>
      <c r="F54" s="7" t="s">
        <v>1739</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milscm_2023_009.sny_202310_backup_mart_shikkan.death_cause IS '死因';</v>
      </c>
    </row>
    <row r="55" spans="1:52" s="25" customFormat="1">
      <c r="A55" s="4"/>
      <c r="B55" s="21">
        <f t="shared" si="2"/>
        <v>43</v>
      </c>
      <c r="C55" s="13" t="s">
        <v>1783</v>
      </c>
      <c r="D55" s="13" t="s">
        <v>943</v>
      </c>
      <c r="E55" s="7"/>
      <c r="F55" s="7" t="s">
        <v>1739</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milscm_2023_009.sny_202310_backup_mart_shikkan.receipt_type IS 'レセプト種別';</v>
      </c>
    </row>
    <row r="56" spans="1:52" s="25" customFormat="1" ht="56.25">
      <c r="A56" s="4"/>
      <c r="B56" s="21">
        <f t="shared" si="2"/>
        <v>44</v>
      </c>
      <c r="C56" s="13" t="s">
        <v>1755</v>
      </c>
      <c r="D56" s="13" t="s">
        <v>243</v>
      </c>
      <c r="E56" s="7"/>
      <c r="F56" s="7" t="s">
        <v>1739</v>
      </c>
      <c r="G56" s="7" t="str">
        <f t="shared" si="3"/>
        <v>text</v>
      </c>
      <c r="H56" s="58"/>
      <c r="I56" s="23"/>
      <c r="J56" s="24" t="s">
        <v>1798</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milscm_2023_009.sny_202310_backup_mart_shikkan.nyugai_kubun IS '入外区分';</v>
      </c>
    </row>
    <row r="57" spans="1:52" s="25" customFormat="1" ht="75">
      <c r="A57" s="4"/>
      <c r="B57" s="21">
        <f t="shared" si="2"/>
        <v>45</v>
      </c>
      <c r="C57" s="13" t="s">
        <v>1784</v>
      </c>
      <c r="D57" s="13" t="s">
        <v>1785</v>
      </c>
      <c r="E57" s="7"/>
      <c r="F57" s="7" t="s">
        <v>1739</v>
      </c>
      <c r="G57" s="7" t="str">
        <f t="shared" si="3"/>
        <v>text</v>
      </c>
      <c r="H57" s="58"/>
      <c r="I57" s="23"/>
      <c r="J57" s="24" t="s">
        <v>1799</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1114</v>
      </c>
      <c r="D58" s="13" t="s">
        <v>1115</v>
      </c>
      <c r="E58" s="7"/>
      <c r="F58" s="7" t="s">
        <v>1739</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milscm_2023_009.sny_202310_backup_mart_shikkan.hosoku_comment IS '補足コメント';</v>
      </c>
    </row>
    <row r="59" spans="1:52" s="25" customFormat="1" ht="19.5" thickBot="1">
      <c r="A59" s="4"/>
      <c r="B59" s="27">
        <f>ROW()-12</f>
        <v>47</v>
      </c>
      <c r="C59" s="57" t="s">
        <v>1756</v>
      </c>
      <c r="D59" s="57" t="s">
        <v>1757</v>
      </c>
      <c r="E59" s="56"/>
      <c r="F59" s="56" t="s">
        <v>204</v>
      </c>
      <c r="G59" s="56" t="str">
        <f t="shared" si="3"/>
        <v>integer</v>
      </c>
      <c r="H59" s="59"/>
      <c r="I59" s="60"/>
      <c r="J59" s="64" t="s">
        <v>1763</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01</v>
      </c>
      <c r="E4" s="245"/>
      <c r="F4" s="245"/>
      <c r="G4" s="245"/>
      <c r="H4" s="245"/>
      <c r="I4" s="245"/>
      <c r="J4" s="246"/>
    </row>
    <row r="5" spans="1:52">
      <c r="B5" s="229" t="s">
        <v>3704</v>
      </c>
      <c r="C5" s="230"/>
      <c r="D5" s="239" t="str">
        <f>VLOOKUP(D7,エンティティ一覧!A1:'エンティティ一覧'!AM10183,7,FALSE)</f>
        <v>backup</v>
      </c>
      <c r="E5" s="240"/>
      <c r="F5" s="240"/>
      <c r="G5" s="240"/>
      <c r="H5" s="240"/>
      <c r="I5" s="240"/>
      <c r="J5" s="241"/>
    </row>
    <row r="6" spans="1:52">
      <c r="B6" s="229" t="s">
        <v>3705</v>
      </c>
      <c r="C6" s="230"/>
      <c r="D6" s="239" t="str">
        <f>VLOOKUP(D7,エンティティ一覧!A1:'エンティティ一覧'!AM10183,15,FALSE)</f>
        <v>ENT_01_A1-05</v>
      </c>
      <c r="E6" s="240"/>
      <c r="F6" s="240"/>
      <c r="G6" s="240"/>
      <c r="H6" s="240"/>
      <c r="I6" s="240"/>
      <c r="J6" s="241"/>
    </row>
    <row r="7" spans="1:52">
      <c r="B7" s="229" t="s">
        <v>115</v>
      </c>
      <c r="C7" s="230"/>
      <c r="D7" s="231" t="s">
        <v>1800</v>
      </c>
      <c r="E7" s="232"/>
      <c r="F7" s="232"/>
      <c r="G7" s="232"/>
      <c r="H7" s="232"/>
      <c r="I7" s="232"/>
      <c r="J7" s="233"/>
    </row>
    <row r="8" spans="1:52">
      <c r="B8" s="229" t="s">
        <v>116</v>
      </c>
      <c r="C8" s="230"/>
      <c r="D8" s="231" t="str">
        <f>エンティティ一覧!AE2&amp;"_"&amp;D5&amp;"_mart_shikkan_department"</f>
        <v>sny_202310_backup_mart_shikkan_department</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疾患診療科データテーブルから組入れ条件の第一条件で絞り込んだ結果を格納するテーブル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milscm_2023_009.sny_202310_backup_mart_shikkan_department;</v>
      </c>
      <c r="O10" s="76"/>
      <c r="P10" s="76"/>
      <c r="Q10" s="76"/>
      <c r="R10" s="76"/>
      <c r="S10" s="76"/>
      <c r="T10" s="76"/>
      <c r="AJ10" s="76" t="str">
        <f>"ALTER TABLE ONLY "&amp;エンティティ一覧!$O$2&amp;"."&amp;D$8</f>
        <v>ALTER TABLE ONLY milscm_2023_009.sny_202310_backup_mart_shikkan_department</v>
      </c>
      <c r="AS10" s="76" t="str">
        <f>"ALTER TABLE "&amp;エンティティ一覧!$O$2&amp;"."&amp;D$8&amp;" OWNER TO pgmisgrp1;"</f>
        <v>ALTER TABLE milscm_2023_009.sny_202310_backup_mart_shikkan_department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milscm_2023_009.sny_202310_backup_mart_shikkan_department</v>
      </c>
      <c r="O11" s="76"/>
      <c r="P11" s="76"/>
      <c r="Q11" s="76"/>
      <c r="R11" s="76"/>
      <c r="S11" s="76"/>
      <c r="T11" s="76"/>
      <c r="AJ11" s="76" t="str">
        <f>"ADD CONSTRAINT "&amp;D$8&amp;"_pkey PRIMARY KEY"</f>
        <v>ADD CONSTRAINT sny_202310_backup_mart_shikkan_department_pkey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milscm_2023_009.sny_202310_backup_mart_shikkan_department IS 'バックアップ_疾患診療科データ';</v>
      </c>
    </row>
    <row r="13" spans="1:52" s="25" customFormat="1">
      <c r="A13" s="4"/>
      <c r="B13" s="21">
        <f>ROW()-12</f>
        <v>1</v>
      </c>
      <c r="C13" s="6" t="s">
        <v>1801</v>
      </c>
      <c r="D13" s="6" t="s">
        <v>1802</v>
      </c>
      <c r="E13" s="8" t="s">
        <v>127</v>
      </c>
      <c r="F13" s="8" t="s">
        <v>204</v>
      </c>
      <c r="G13" s="7" t="str">
        <f>IF(F13="フラグ","boolean",IF(F13="文字列","text",IF(F13="整数","integer",IF(F13="実数","numeric",""))))</f>
        <v>integer</v>
      </c>
      <c r="H13" s="9"/>
      <c r="I13" s="10" t="s">
        <v>127</v>
      </c>
      <c r="J13" s="11" t="s">
        <v>1805</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1803</v>
      </c>
      <c r="D14" s="6" t="s">
        <v>1684</v>
      </c>
      <c r="E14" s="8"/>
      <c r="F14" s="7" t="s">
        <v>1739</v>
      </c>
      <c r="G14" s="7" t="str">
        <f t="shared" ref="G14:G15" si="3">IF(F14="フラグ","boolean",IF(F14="文字列","text",IF(F14="整数","integer",IF(F14="実数","numeric",""))))</f>
        <v>text</v>
      </c>
      <c r="H14" s="26"/>
      <c r="I14" s="10"/>
      <c r="J14" s="11" t="s">
        <v>1806</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milscm_2023_009.sny_202310_backup_mart_shikkan_department.department_name IS '診療科名';</v>
      </c>
    </row>
    <row r="15" spans="1:52" s="25" customFormat="1" ht="57" thickBot="1">
      <c r="A15" s="4"/>
      <c r="B15" s="27">
        <f>ROW()-12</f>
        <v>3</v>
      </c>
      <c r="C15" s="57" t="s">
        <v>1804</v>
      </c>
      <c r="D15" s="57" t="s">
        <v>135</v>
      </c>
      <c r="E15" s="56" t="s">
        <v>127</v>
      </c>
      <c r="F15" s="56" t="s">
        <v>1739</v>
      </c>
      <c r="G15" s="56" t="str">
        <f t="shared" si="3"/>
        <v>text</v>
      </c>
      <c r="H15" s="59"/>
      <c r="I15" s="60"/>
      <c r="J15" s="64" t="s">
        <v>1807</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milscm_2023_009.sny_202310_backup_mart_shikkan_department.department_kubun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ENT_01_A1-06</v>
      </c>
      <c r="E6" s="240"/>
      <c r="F6" s="240"/>
      <c r="G6" s="240"/>
      <c r="H6" s="240"/>
      <c r="I6" s="240"/>
      <c r="J6" s="241"/>
    </row>
    <row r="7" spans="1:45">
      <c r="B7" s="229" t="s">
        <v>115</v>
      </c>
      <c r="C7" s="230"/>
      <c r="D7" s="231" t="s">
        <v>1808</v>
      </c>
      <c r="E7" s="232"/>
      <c r="F7" s="232"/>
      <c r="G7" s="232"/>
      <c r="H7" s="232"/>
      <c r="I7" s="232"/>
      <c r="J7" s="233"/>
    </row>
    <row r="8" spans="1:45">
      <c r="B8" s="229" t="s">
        <v>116</v>
      </c>
      <c r="C8" s="230"/>
      <c r="D8" s="231" t="str">
        <f>エンティティ一覧!AE2&amp;"_"&amp;D5&amp;"_mart_nyu_tai_in"</f>
        <v>sny_202310_backup_mart_nyu_tai_in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入院退院データテーブルから組入れ条件の第一条件で絞り込んだ結果を格納するテーブル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milscm_2023_009.sny_202310_backup_mart_nyu_tai_in;</v>
      </c>
      <c r="O10" s="76"/>
      <c r="P10" s="76"/>
      <c r="Q10" s="76"/>
      <c r="R10" s="76"/>
      <c r="S10" s="76"/>
      <c r="T10" s="76"/>
      <c r="AJ10" s="76" t="str">
        <f>"ALTER TABLE ONLY "&amp;エンティティ一覧!$O$2&amp;"."&amp;D$8</f>
        <v>ALTER TABLE ONLY milscm_2023_009.sny_202310_backup_mart_nyu_tai_in</v>
      </c>
      <c r="AS10" s="76" t="str">
        <f>"ALTER TABLE "&amp;エンティティ一覧!$O$2&amp;"."&amp;D$8&amp;" OWNER TO pgmisgrp1;"</f>
        <v>ALTER TABLE milscm_2023_009.sny_202310_backup_mart_nyu_tai_in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milscm_2023_009.sny_202310_backup_mart_nyu_tai_in</v>
      </c>
      <c r="O11" s="76"/>
      <c r="P11" s="76"/>
      <c r="Q11" s="76"/>
      <c r="R11" s="76"/>
      <c r="S11" s="76"/>
      <c r="T11" s="76"/>
      <c r="AJ11" s="76" t="str">
        <f>"ADD CONSTRAINT "&amp;D$8&amp;"_pkey PRIMARY KEY"</f>
        <v>ADD CONSTRAINT sny_202310_backup_mart_nyu_tai_in_pkey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1817</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737</v>
      </c>
      <c r="G14" s="7" t="str">
        <f t="shared" ref="G14:G17" si="3">IF(F14="フラグ","boolean",IF(F14="文字列","text",IF(F14="整数","integer",IF(F14="実数","numeric",""))))</f>
        <v>text</v>
      </c>
      <c r="H14" s="26"/>
      <c r="I14" s="10" t="s">
        <v>127</v>
      </c>
      <c r="J14" s="11" t="s">
        <v>1817</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milscm_2023_009.sny_202310_backup_mart_nyu_tai_in.facility_id IS '施設ID';</v>
      </c>
    </row>
    <row r="15" spans="1:45" s="25" customFormat="1">
      <c r="A15" s="4"/>
      <c r="B15" s="21">
        <f t="shared" si="2"/>
        <v>3</v>
      </c>
      <c r="C15" s="6" t="s">
        <v>1809</v>
      </c>
      <c r="D15" s="6" t="s">
        <v>1810</v>
      </c>
      <c r="E15" s="8"/>
      <c r="F15" s="7" t="s">
        <v>1739</v>
      </c>
      <c r="G15" s="7" t="str">
        <f t="shared" si="3"/>
        <v>text</v>
      </c>
      <c r="H15" s="26"/>
      <c r="I15" s="10" t="s">
        <v>127</v>
      </c>
      <c r="J15" s="11" t="s">
        <v>1818</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1811</v>
      </c>
      <c r="D16" s="6" t="s">
        <v>1812</v>
      </c>
      <c r="E16" s="8"/>
      <c r="F16" s="7" t="s">
        <v>1739</v>
      </c>
      <c r="G16" s="7" t="str">
        <f t="shared" si="3"/>
        <v>text</v>
      </c>
      <c r="H16" s="26"/>
      <c r="I16" s="10" t="s">
        <v>127</v>
      </c>
      <c r="J16" s="11" t="s">
        <v>1819</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1813</v>
      </c>
      <c r="D17" s="6" t="s">
        <v>156</v>
      </c>
      <c r="E17" s="8" t="s">
        <v>127</v>
      </c>
      <c r="F17" s="7" t="s">
        <v>1739</v>
      </c>
      <c r="G17" s="7" t="str">
        <f t="shared" si="3"/>
        <v>text</v>
      </c>
      <c r="H17" s="26"/>
      <c r="I17" s="10" t="s">
        <v>127</v>
      </c>
      <c r="J17" s="11" t="s">
        <v>1817</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1814</v>
      </c>
      <c r="D18" s="6" t="s">
        <v>212</v>
      </c>
      <c r="E18" s="8" t="s">
        <v>127</v>
      </c>
      <c r="F18" s="7" t="s">
        <v>1739</v>
      </c>
      <c r="G18" s="7" t="str">
        <f t="shared" ref="G18:G19" si="10">IF(F18="フラグ","boolean",IF(F18="文字列","text",IF(F18="整数","integer",IF(F18="実数","numeric",""))))</f>
        <v>text</v>
      </c>
      <c r="H18" s="26"/>
      <c r="I18" s="10" t="s">
        <v>127</v>
      </c>
      <c r="J18" s="11" t="s">
        <v>1817</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milscm_2023_009.sny_202310_backup_mart_nyu_tai_in.taiin_ymd IS '退院年月日';</v>
      </c>
    </row>
    <row r="19" spans="1:52" s="25" customFormat="1" ht="38.25" thickBot="1">
      <c r="A19" s="4"/>
      <c r="B19" s="27">
        <f>ROW()-12</f>
        <v>7</v>
      </c>
      <c r="C19" s="57" t="s">
        <v>1815</v>
      </c>
      <c r="D19" s="57" t="s">
        <v>1816</v>
      </c>
      <c r="E19" s="56"/>
      <c r="F19" s="56" t="s">
        <v>1739</v>
      </c>
      <c r="G19" s="56" t="str">
        <f t="shared" si="10"/>
        <v>text</v>
      </c>
      <c r="H19" s="59"/>
      <c r="I19" s="60" t="s">
        <v>127</v>
      </c>
      <c r="J19" s="64" t="s">
        <v>1820</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01</v>
      </c>
      <c r="E4" s="245"/>
      <c r="F4" s="245"/>
      <c r="G4" s="245"/>
      <c r="H4" s="245"/>
      <c r="I4" s="245"/>
      <c r="J4" s="246"/>
    </row>
    <row r="5" spans="1:52">
      <c r="B5" s="229" t="s">
        <v>3704</v>
      </c>
      <c r="C5" s="230"/>
      <c r="D5" s="239" t="str">
        <f>VLOOKUP(D7,エンティティ一覧!A1:'エンティティ一覧'!AM10183,7,FALSE)</f>
        <v>backup</v>
      </c>
      <c r="E5" s="240"/>
      <c r="F5" s="240"/>
      <c r="G5" s="240"/>
      <c r="H5" s="240"/>
      <c r="I5" s="240"/>
      <c r="J5" s="241"/>
    </row>
    <row r="6" spans="1:52">
      <c r="B6" s="229" t="s">
        <v>3705</v>
      </c>
      <c r="C6" s="230"/>
      <c r="D6" s="239" t="str">
        <f>VLOOKUP(D7,エンティティ一覧!A1:'エンティティ一覧'!AM10183,15,FALSE)</f>
        <v>ENT_01_A1-07</v>
      </c>
      <c r="E6" s="240"/>
      <c r="F6" s="240"/>
      <c r="G6" s="240"/>
      <c r="H6" s="240"/>
      <c r="I6" s="240"/>
      <c r="J6" s="241"/>
    </row>
    <row r="7" spans="1:52">
      <c r="B7" s="229" t="s">
        <v>115</v>
      </c>
      <c r="C7" s="230"/>
      <c r="D7" s="231" t="s">
        <v>1821</v>
      </c>
      <c r="E7" s="232"/>
      <c r="F7" s="232"/>
      <c r="G7" s="232"/>
      <c r="H7" s="232"/>
      <c r="I7" s="232"/>
      <c r="J7" s="233"/>
    </row>
    <row r="8" spans="1:52">
      <c r="B8" s="229" t="s">
        <v>116</v>
      </c>
      <c r="C8" s="230"/>
      <c r="D8" s="231" t="str">
        <f>エンティティ一覧!AE2&amp;"_"&amp;D5&amp;"_mart_2riyo_patient_id"</f>
        <v>sny_202310_backup_mart_2riyo_patient_id</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milscm_2023_009.sny_202310_backup_mart_2riyo_patient_id;</v>
      </c>
      <c r="O10" s="76"/>
      <c r="P10" s="76"/>
      <c r="Q10" s="76"/>
      <c r="R10" s="76"/>
      <c r="S10" s="76"/>
      <c r="T10" s="76"/>
      <c r="AJ10" s="76" t="str">
        <f>"ALTER TABLE ONLY "&amp;エンティティ一覧!$O$2&amp;"."&amp;D$8</f>
        <v>ALTER TABLE ONLY milscm_2023_009.sny_202310_backup_mart_2riyo_patient_id</v>
      </c>
      <c r="AS10" s="76" t="str">
        <f>"ALTER TABLE "&amp;エンティティ一覧!$O$2&amp;"."&amp;D$8&amp;" OWNER TO pgmisgrp1;"</f>
        <v>ALTER TABLE milscm_2023_009.sny_202310_backup_mart_2riyo_patient_id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milscm_2023_009.sny_202310_backup_mart_2riyo_patient_id</v>
      </c>
      <c r="O11" s="76"/>
      <c r="P11" s="76"/>
      <c r="Q11" s="76"/>
      <c r="R11" s="76"/>
      <c r="S11" s="76"/>
      <c r="T11" s="76"/>
      <c r="AJ11" s="76" t="str">
        <f>"ADD CONSTRAINT "&amp;D$8&amp;"_pkey PRIMARY KEY"</f>
        <v>ADD CONSTRAINT sny_202310_backup_mart_2riyo_patient_id_pkey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1822</v>
      </c>
      <c r="D14" s="6" t="s">
        <v>208</v>
      </c>
      <c r="E14" s="8" t="s">
        <v>127</v>
      </c>
      <c r="F14" s="7" t="s">
        <v>1823</v>
      </c>
      <c r="G14" s="7" t="str">
        <f t="shared" ref="G14:G15" si="3">IF(F14="フラグ","boolean",IF(F14="文字列","text",IF(F14="整数","integer",IF(F14="実数","numeric",""))))</f>
        <v>text</v>
      </c>
      <c r="H14" s="26"/>
      <c r="I14" s="10" t="s">
        <v>127</v>
      </c>
      <c r="J14" s="11" t="s">
        <v>1826</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milscm_2023_009.sny_202310_backup_mart_2riyo_patient_id.data_type IS 'データ種別';</v>
      </c>
    </row>
    <row r="15" spans="1:52" s="25" customFormat="1" ht="19.5" thickBot="1">
      <c r="A15" s="4"/>
      <c r="B15" s="27">
        <f>ROW()-12</f>
        <v>3</v>
      </c>
      <c r="C15" s="57" t="s">
        <v>1824</v>
      </c>
      <c r="D15" s="57" t="s">
        <v>1825</v>
      </c>
      <c r="E15" s="56" t="s">
        <v>127</v>
      </c>
      <c r="F15" s="56" t="s">
        <v>1739</v>
      </c>
      <c r="G15" s="56" t="str">
        <f t="shared" si="3"/>
        <v>text</v>
      </c>
      <c r="H15" s="59"/>
      <c r="I15" s="60" t="s">
        <v>127</v>
      </c>
      <c r="J15" s="64"/>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ENT_01_A1-08</v>
      </c>
      <c r="E6" s="240"/>
      <c r="F6" s="240"/>
      <c r="G6" s="240"/>
      <c r="H6" s="240"/>
      <c r="I6" s="240"/>
      <c r="J6" s="241"/>
    </row>
    <row r="7" spans="1:45">
      <c r="B7" s="229" t="s">
        <v>115</v>
      </c>
      <c r="C7" s="230"/>
      <c r="D7" s="231" t="s">
        <v>1827</v>
      </c>
      <c r="E7" s="232"/>
      <c r="F7" s="232"/>
      <c r="G7" s="232"/>
      <c r="H7" s="232"/>
      <c r="I7" s="232"/>
      <c r="J7" s="233"/>
    </row>
    <row r="8" spans="1:45">
      <c r="B8" s="229" t="s">
        <v>116</v>
      </c>
      <c r="C8" s="230"/>
      <c r="D8" s="231" t="str">
        <f>エンティティ一覧!AE2&amp;"_"&amp;D5&amp;"_mart_2riyo_patient_id_dpc"</f>
        <v>sny_202310_backup_mart_2riyo_patient_id_dpc</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milscm_2023_009.sny_202310_backup_mart_2riyo_patient_id_dpc;</v>
      </c>
      <c r="O10" s="76"/>
      <c r="P10" s="76"/>
      <c r="Q10" s="76"/>
      <c r="R10" s="76"/>
      <c r="S10" s="76"/>
      <c r="T10" s="76"/>
      <c r="AJ10" s="76" t="str">
        <f>"ALTER TABLE ONLY "&amp;エンティティ一覧!$O$2&amp;"."&amp;D$8</f>
        <v>ALTER TABLE ONLY milscm_2023_009.sny_202310_backup_mart_2riyo_patient_id_dpc</v>
      </c>
      <c r="AS10" s="76" t="str">
        <f>"ALTER TABLE "&amp;エンティティ一覧!$O$2&amp;"."&amp;D$8&amp;" OWNER TO pgmisgrp1;"</f>
        <v>ALTER TABLE milscm_2023_009.sny_202310_backup_mart_2riyo_patient_id_dpc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milscm_2023_009.sny_202310_backup_mart_2riyo_patient_id_dpc</v>
      </c>
      <c r="O11" s="76"/>
      <c r="P11" s="76"/>
      <c r="Q11" s="76"/>
      <c r="R11" s="76"/>
      <c r="S11" s="76"/>
      <c r="T11" s="76"/>
      <c r="AJ11" s="76" t="str">
        <f>"ADD CONSTRAINT "&amp;D$8&amp;"_pkey PRIMARY KEY"</f>
        <v>ADD CONSTRAINT sny_202310_backup_mart_2riyo_patient_id_dpc_pkey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1828</v>
      </c>
      <c r="D16" s="6" t="s">
        <v>1829</v>
      </c>
      <c r="E16" s="8"/>
      <c r="F16" s="7" t="s">
        <v>1830</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1831</v>
      </c>
      <c r="D17" s="6" t="s">
        <v>1832</v>
      </c>
      <c r="E17" s="8"/>
      <c r="F17" s="7" t="s">
        <v>1823</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milscm_2023_009.sny_202310_backup_mart_2riyo_patient_id_dpc.shinryo_ym_max IS '診療年月_最大';</v>
      </c>
    </row>
    <row r="18" spans="1:52" s="25" customFormat="1" ht="56.25">
      <c r="A18" s="4"/>
      <c r="B18" s="21">
        <f t="shared" si="2"/>
        <v>6</v>
      </c>
      <c r="C18" s="6" t="s">
        <v>1833</v>
      </c>
      <c r="D18" s="6" t="s">
        <v>947</v>
      </c>
      <c r="E18" s="8" t="s">
        <v>127</v>
      </c>
      <c r="F18" s="7" t="s">
        <v>1739</v>
      </c>
      <c r="G18" s="7" t="str">
        <f t="shared" si="3"/>
        <v>text</v>
      </c>
      <c r="H18" s="26"/>
      <c r="I18" s="10" t="s">
        <v>127</v>
      </c>
      <c r="J18" s="11" t="s">
        <v>1835</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milscm_2023_009.sny_202310_backup_mart_2riyo_patient_id_dpc.sex_kubun IS '男女区分';</v>
      </c>
    </row>
    <row r="19" spans="1:52" s="25" customFormat="1" ht="94.5" thickBot="1">
      <c r="A19" s="4"/>
      <c r="B19" s="27">
        <f>ROW()-12</f>
        <v>7</v>
      </c>
      <c r="C19" s="57" t="s">
        <v>1834</v>
      </c>
      <c r="D19" s="57" t="s">
        <v>322</v>
      </c>
      <c r="E19" s="56" t="s">
        <v>127</v>
      </c>
      <c r="F19" s="56" t="s">
        <v>1739</v>
      </c>
      <c r="G19" s="56" t="str">
        <f t="shared" si="3"/>
        <v>text</v>
      </c>
      <c r="H19" s="59"/>
      <c r="I19" s="60" t="s">
        <v>127</v>
      </c>
      <c r="J19" s="64" t="s">
        <v>1836</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ENT_01_A1-09</v>
      </c>
      <c r="E6" s="240"/>
      <c r="F6" s="240"/>
      <c r="G6" s="240"/>
      <c r="H6" s="240"/>
      <c r="I6" s="240"/>
      <c r="J6" s="241"/>
    </row>
    <row r="7" spans="1:45">
      <c r="B7" s="229" t="s">
        <v>115</v>
      </c>
      <c r="C7" s="230"/>
      <c r="D7" s="231" t="s">
        <v>1837</v>
      </c>
      <c r="E7" s="232"/>
      <c r="F7" s="232"/>
      <c r="G7" s="232"/>
      <c r="H7" s="232"/>
      <c r="I7" s="232"/>
      <c r="J7" s="233"/>
    </row>
    <row r="8" spans="1:45">
      <c r="B8" s="229" t="s">
        <v>116</v>
      </c>
      <c r="C8" s="230"/>
      <c r="D8" s="231" t="str">
        <f>エンティティ一覧!AE2&amp;"_"&amp;D5&amp;"_mart_2riyo_patient_id_rcp"</f>
        <v>sny_202310_backup_mart_2riyo_patient_id_rcp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milscm_2023_009.sny_202310_backup_mart_2riyo_patient_id_rcp;</v>
      </c>
      <c r="O10" s="76"/>
      <c r="P10" s="76"/>
      <c r="Q10" s="76"/>
      <c r="R10" s="76"/>
      <c r="S10" s="76"/>
      <c r="T10" s="76"/>
      <c r="AJ10" s="76" t="str">
        <f>"ALTER TABLE ONLY "&amp;エンティティ一覧!$O$2&amp;"."&amp;D$8</f>
        <v>ALTER TABLE ONLY milscm_2023_009.sny_202310_backup_mart_2riyo_patient_id_rcp</v>
      </c>
      <c r="AS10" s="76" t="str">
        <f>"ALTER TABLE "&amp;エンティティ一覧!$O$2&amp;"."&amp;D$8&amp;" OWNER TO pgmisgrp1;"</f>
        <v>ALTER TABLE milscm_2023_009.sny_202310_backup_mart_2riyo_patient_id_rcp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milscm_2023_009.sny_202310_backup_mart_2riyo_patient_id_rcp</v>
      </c>
      <c r="O11" s="76"/>
      <c r="P11" s="76"/>
      <c r="Q11" s="76"/>
      <c r="R11" s="76"/>
      <c r="S11" s="76"/>
      <c r="T11" s="76"/>
      <c r="AJ11" s="76" t="str">
        <f>"ADD CONSTRAINT "&amp;D$8&amp;"_pkey PRIMARY KEY"</f>
        <v>ADD CONSTRAINT sny_202310_backup_mart_2riyo_patient_id_rcp_pkey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1828</v>
      </c>
      <c r="D16" s="6" t="s">
        <v>1829</v>
      </c>
      <c r="E16" s="8"/>
      <c r="F16" s="7" t="s">
        <v>1830</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1831</v>
      </c>
      <c r="D17" s="6" t="s">
        <v>1832</v>
      </c>
      <c r="E17" s="8"/>
      <c r="F17" s="7" t="s">
        <v>1823</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1833</v>
      </c>
      <c r="D18" s="6" t="s">
        <v>947</v>
      </c>
      <c r="E18" s="8" t="s">
        <v>127</v>
      </c>
      <c r="F18" s="7" t="s">
        <v>1739</v>
      </c>
      <c r="G18" s="7" t="str">
        <f t="shared" si="3"/>
        <v>text</v>
      </c>
      <c r="H18" s="26"/>
      <c r="I18" s="10" t="s">
        <v>127</v>
      </c>
      <c r="J18" s="11" t="s">
        <v>1838</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milscm_2023_009.sny_202310_backup_mart_2riyo_patient_id_rcp.sex_kubun IS '男女区分';</v>
      </c>
    </row>
    <row r="19" spans="1:52" s="25" customFormat="1" ht="57" thickBot="1">
      <c r="A19" s="4"/>
      <c r="B19" s="27">
        <f>ROW()-12</f>
        <v>7</v>
      </c>
      <c r="C19" s="57" t="s">
        <v>1834</v>
      </c>
      <c r="D19" s="57" t="s">
        <v>322</v>
      </c>
      <c r="E19" s="56" t="s">
        <v>127</v>
      </c>
      <c r="F19" s="56" t="s">
        <v>1739</v>
      </c>
      <c r="G19" s="56" t="str">
        <f t="shared" si="3"/>
        <v>text</v>
      </c>
      <c r="H19" s="59"/>
      <c r="I19" s="60" t="s">
        <v>127</v>
      </c>
      <c r="J19" s="64" t="s">
        <v>1839</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ENT_01_A1-10</v>
      </c>
      <c r="E6" s="240"/>
      <c r="F6" s="240"/>
      <c r="G6" s="240"/>
      <c r="H6" s="240"/>
      <c r="I6" s="240"/>
      <c r="J6" s="241"/>
    </row>
    <row r="7" spans="1:45">
      <c r="B7" s="229" t="s">
        <v>115</v>
      </c>
      <c r="C7" s="230"/>
      <c r="D7" s="231" t="s">
        <v>1840</v>
      </c>
      <c r="E7" s="232"/>
      <c r="F7" s="232"/>
      <c r="G7" s="232"/>
      <c r="H7" s="232"/>
      <c r="I7" s="232"/>
      <c r="J7" s="233"/>
    </row>
    <row r="8" spans="1:45">
      <c r="B8" s="229" t="s">
        <v>116</v>
      </c>
      <c r="C8" s="230"/>
      <c r="D8" s="231" t="str">
        <f>エンティティ一覧!AE2&amp;"_"&amp;D5&amp;"_mart_2riyo_patient_id_mml"</f>
        <v>sny_202310_backup_mart_2riyo_patient_id_mml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milscm_2023_009.sny_202310_backup_mart_2riyo_patient_id_mml;</v>
      </c>
      <c r="O10" s="76"/>
      <c r="P10" s="76"/>
      <c r="Q10" s="76"/>
      <c r="R10" s="76"/>
      <c r="S10" s="76"/>
      <c r="T10" s="76"/>
      <c r="AJ10" s="76" t="str">
        <f>"ALTER TABLE ONLY "&amp;エンティティ一覧!$O$2&amp;"."&amp;D$8</f>
        <v>ALTER TABLE ONLY milscm_2023_009.sny_202310_backup_mart_2riyo_patient_id_mml</v>
      </c>
      <c r="AS10" s="76" t="str">
        <f>"ALTER TABLE "&amp;エンティティ一覧!$O$2&amp;"."&amp;D$8&amp;" OWNER TO pgmisgrp1;"</f>
        <v>ALTER TABLE milscm_2023_009.sny_202310_backup_mart_2riyo_patient_id_mml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milscm_2023_009.sny_202310_backup_mart_2riyo_patient_id_mml</v>
      </c>
      <c r="O11" s="76"/>
      <c r="P11" s="76"/>
      <c r="Q11" s="76"/>
      <c r="R11" s="76"/>
      <c r="S11" s="76"/>
      <c r="T11" s="76"/>
      <c r="AJ11" s="76" t="str">
        <f>"ADD CONSTRAINT "&amp;D$8&amp;"_pkey PRIMARY KEY"</f>
        <v>ADD CONSTRAINT sny_202310_backup_mart_2riyo_patient_id_mml_pkey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milscm_2023_009.sny_202310_backup_mart_2riyo_patient_id_mml.patient_id IS '患者ID';</v>
      </c>
    </row>
    <row r="16" spans="1:45" s="25" customFormat="1">
      <c r="A16" s="4"/>
      <c r="B16" s="21">
        <f t="shared" si="2"/>
        <v>4</v>
      </c>
      <c r="C16" s="6" t="s">
        <v>1833</v>
      </c>
      <c r="D16" s="6" t="s">
        <v>947</v>
      </c>
      <c r="E16" s="8" t="s">
        <v>127</v>
      </c>
      <c r="F16" s="7" t="s">
        <v>1739</v>
      </c>
      <c r="G16" s="7" t="str">
        <f t="shared" si="3"/>
        <v>text</v>
      </c>
      <c r="H16" s="26"/>
      <c r="I16" s="10" t="s">
        <v>127</v>
      </c>
      <c r="J16" s="11" t="s">
        <v>1841</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milscm_2023_009.sny_202310_backup_mart_2riyo_patient_id_mml.sex_kubun IS '男女区分';</v>
      </c>
    </row>
    <row r="17" spans="1:52" s="25" customFormat="1" ht="56.25">
      <c r="A17" s="4"/>
      <c r="B17" s="21">
        <f t="shared" si="2"/>
        <v>5</v>
      </c>
      <c r="C17" s="6" t="s">
        <v>1834</v>
      </c>
      <c r="D17" s="6" t="s">
        <v>322</v>
      </c>
      <c r="E17" s="8" t="s">
        <v>127</v>
      </c>
      <c r="F17" s="7" t="s">
        <v>1739</v>
      </c>
      <c r="G17" s="7" t="str">
        <f t="shared" si="3"/>
        <v>text</v>
      </c>
      <c r="H17" s="26"/>
      <c r="I17" s="10" t="s">
        <v>127</v>
      </c>
      <c r="J17" s="11" t="s">
        <v>1839</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milscm_2023_009.sny_202310_backup_mart_2riyo_patient_id_mml.birthday IS '生年月日';</v>
      </c>
    </row>
    <row r="18" spans="1:52" s="25" customFormat="1" ht="56.25">
      <c r="A18" s="4"/>
      <c r="B18" s="21">
        <f t="shared" si="2"/>
        <v>6</v>
      </c>
      <c r="C18" s="6" t="s">
        <v>1280</v>
      </c>
      <c r="D18" s="6" t="s">
        <v>1281</v>
      </c>
      <c r="E18" s="8" t="s">
        <v>127</v>
      </c>
      <c r="F18" s="7" t="s">
        <v>317</v>
      </c>
      <c r="G18" s="7" t="str">
        <f t="shared" si="3"/>
        <v>text</v>
      </c>
      <c r="H18" s="26"/>
      <c r="I18" s="10" t="s">
        <v>127</v>
      </c>
      <c r="J18" s="11" t="s">
        <v>1842</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milscm_2023_009.sny_202310_backup_mart_2riyo_patient_id_mml.death_flag IS '死亡フラグ';</v>
      </c>
    </row>
    <row r="19" spans="1:52" s="25" customFormat="1" ht="57" thickBot="1">
      <c r="A19" s="4"/>
      <c r="B19" s="27">
        <f>ROW()-12</f>
        <v>7</v>
      </c>
      <c r="C19" s="57" t="s">
        <v>1282</v>
      </c>
      <c r="D19" s="57" t="s">
        <v>1283</v>
      </c>
      <c r="E19" s="56" t="s">
        <v>127</v>
      </c>
      <c r="F19" s="56" t="s">
        <v>317</v>
      </c>
      <c r="G19" s="56" t="str">
        <f t="shared" si="3"/>
        <v>text</v>
      </c>
      <c r="H19" s="59"/>
      <c r="I19" s="60" t="s">
        <v>127</v>
      </c>
      <c r="J19" s="64" t="s">
        <v>1843</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milscm_2023_009.sny_202310_backup_mart_2riyo_patient_id_mml.death_date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ENT_01_A1-11</v>
      </c>
      <c r="E6" s="240"/>
      <c r="F6" s="240"/>
      <c r="G6" s="240"/>
      <c r="H6" s="240"/>
      <c r="I6" s="240"/>
      <c r="J6" s="241"/>
    </row>
    <row r="7" spans="1:45">
      <c r="B7" s="229" t="s">
        <v>115</v>
      </c>
      <c r="C7" s="230"/>
      <c r="D7" s="231" t="s">
        <v>1844</v>
      </c>
      <c r="E7" s="232"/>
      <c r="F7" s="232"/>
      <c r="G7" s="232"/>
      <c r="H7" s="232"/>
      <c r="I7" s="232"/>
      <c r="J7" s="233"/>
    </row>
    <row r="8" spans="1:45">
      <c r="B8" s="229" t="s">
        <v>116</v>
      </c>
      <c r="C8" s="230"/>
      <c r="D8" s="231" t="str">
        <f>エンティティ一覧!AE2&amp;"_"&amp;D5&amp;"_mart_2riyo_patient_himoduke"</f>
        <v>sny_202310_backup_mart_2riyo_patient_himoduke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milscm_2023_009.sny_202310_backup_mart_2riyo_patient_himoduke;</v>
      </c>
      <c r="O10" s="76"/>
      <c r="P10" s="76"/>
      <c r="Q10" s="76"/>
      <c r="R10" s="76"/>
      <c r="S10" s="76"/>
      <c r="T10" s="76"/>
      <c r="AJ10" s="76" t="str">
        <f>"ALTER TABLE ONLY "&amp;エンティティ一覧!$O$2&amp;"."&amp;D$8</f>
        <v>ALTER TABLE ONLY milscm_2023_009.sny_202310_backup_mart_2riyo_patient_himoduke</v>
      </c>
      <c r="AS10" s="76" t="str">
        <f>"ALTER TABLE "&amp;エンティティ一覧!$O$2&amp;"."&amp;D$8&amp;" OWNER TO pgmisgrp1;"</f>
        <v>ALTER TABLE milscm_2023_009.sny_202310_backup_mart_2riyo_patient_himoduke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milscm_2023_009.sny_202310_backup_mart_2riyo_patient_himoduke</v>
      </c>
      <c r="O11" s="76"/>
      <c r="P11" s="76"/>
      <c r="Q11" s="76"/>
      <c r="R11" s="76"/>
      <c r="S11" s="76"/>
      <c r="T11" s="76"/>
      <c r="AJ11" s="76" t="str">
        <f>"ADD CONSTRAINT "&amp;D$8&amp;"_pkey PRIMARY KEY"</f>
        <v>ADD CONSTRAINT sny_202310_backup_mart_2riyo_patient_himoduke_pkey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1846</v>
      </c>
      <c r="D14" s="6" t="s">
        <v>1847</v>
      </c>
      <c r="E14" s="8" t="s">
        <v>127</v>
      </c>
      <c r="F14" s="7" t="s">
        <v>1830</v>
      </c>
      <c r="G14" s="7" t="str">
        <f t="shared" ref="G14:G16" si="3">IF(F14="フラグ","boolean",IF(F14="文字列","text",IF(F14="整数","integer",IF(F14="実数","numeric",""))))</f>
        <v>text</v>
      </c>
      <c r="H14" s="26"/>
      <c r="I14" s="10" t="s">
        <v>127</v>
      </c>
      <c r="J14" s="11" t="s">
        <v>1848</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milscm_2023_009.sny_202310_backup_mart_2riyo_patient_himoduke.data_type IS 'データ種別';</v>
      </c>
    </row>
    <row r="16" spans="1:45" s="25" customFormat="1" ht="19.5" thickBot="1">
      <c r="A16" s="4"/>
      <c r="B16" s="27">
        <f>ROW()-12</f>
        <v>4</v>
      </c>
      <c r="C16" s="57" t="s">
        <v>1824</v>
      </c>
      <c r="D16" s="57" t="s">
        <v>1825</v>
      </c>
      <c r="E16" s="56" t="s">
        <v>127</v>
      </c>
      <c r="F16" s="56" t="s">
        <v>1739</v>
      </c>
      <c r="G16" s="56" t="str">
        <f t="shared" si="3"/>
        <v>text</v>
      </c>
      <c r="H16" s="59"/>
      <c r="I16" s="60" t="s">
        <v>127</v>
      </c>
      <c r="J16" s="64"/>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ENT_01_A1-13</v>
      </c>
      <c r="E6" s="240"/>
      <c r="F6" s="240"/>
      <c r="G6" s="240"/>
      <c r="H6" s="240"/>
      <c r="I6" s="240"/>
      <c r="J6" s="241"/>
    </row>
    <row r="7" spans="1:45">
      <c r="B7" s="229" t="s">
        <v>115</v>
      </c>
      <c r="C7" s="230"/>
      <c r="D7" s="231" t="s">
        <v>1850</v>
      </c>
      <c r="E7" s="232"/>
      <c r="F7" s="232"/>
      <c r="G7" s="232"/>
      <c r="H7" s="232"/>
      <c r="I7" s="232"/>
      <c r="J7" s="233"/>
    </row>
    <row r="8" spans="1:45">
      <c r="B8" s="229" t="s">
        <v>116</v>
      </c>
      <c r="C8" s="230"/>
      <c r="D8" s="231" t="str">
        <f>エンティティ一覧!AE2&amp;"_"&amp;D5&amp;"_mart_error_patient"</f>
        <v>sny_202310_backup_mart_error_patient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エラー患者データテーブルから組入れ条件の第一条件で絞り込んだ結果を格納するテーブル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milscm_2023_009.sny_202310_backup_mart_error_patient;</v>
      </c>
      <c r="O10" s="76"/>
      <c r="P10" s="76"/>
      <c r="Q10" s="76"/>
      <c r="R10" s="76"/>
      <c r="S10" s="76"/>
      <c r="T10" s="76"/>
      <c r="AJ10" s="76" t="str">
        <f>"ALTER TABLE ONLY "&amp;エンティティ一覧!$O$2&amp;"."&amp;D$8</f>
        <v>ALTER TABLE ONLY milscm_2023_009.sny_202310_backup_mart_error_patient</v>
      </c>
      <c r="AS10" s="76" t="str">
        <f>"ALTER TABLE "&amp;エンティティ一覧!$O$2&amp;"."&amp;D$8&amp;" OWNER TO pgmisgrp1;"</f>
        <v>ALTER TABLE milscm_2023_009.sny_202310_backup_mart_error_patient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milscm_2023_009.sny_202310_backup_mart_error_patient</v>
      </c>
      <c r="O11" s="76"/>
      <c r="P11" s="76"/>
      <c r="Q11" s="76"/>
      <c r="R11" s="76"/>
      <c r="S11" s="76"/>
      <c r="T11" s="76"/>
      <c r="AJ11" s="76" t="str">
        <f>"ADD CONSTRAINT "&amp;D$8&amp;"_pkey PRIMARY KEY"</f>
        <v>ADD CONSTRAINT sny_202310_backup_mart_error_patient_pkey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1846</v>
      </c>
      <c r="D14" s="6" t="s">
        <v>1847</v>
      </c>
      <c r="E14" s="8" t="s">
        <v>127</v>
      </c>
      <c r="F14" s="7" t="s">
        <v>1830</v>
      </c>
      <c r="G14" s="7" t="str">
        <f t="shared" ref="G14:G16" si="3">IF(F14="フラグ","boolean",IF(F14="文字列","text",IF(F14="整数","integer",IF(F14="実数","numeric",""))))</f>
        <v>text</v>
      </c>
      <c r="H14" s="26"/>
      <c r="I14" s="10" t="s">
        <v>127</v>
      </c>
      <c r="J14" s="11" t="s">
        <v>1848</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milscm_2023_009.sny_202310_backup_mart_error_patient.data_type IS 'データ種別';</v>
      </c>
    </row>
    <row r="16" spans="1:45" s="25" customFormat="1" ht="19.5" thickBot="1">
      <c r="A16" s="4"/>
      <c r="B16" s="27">
        <f>ROW()-12</f>
        <v>4</v>
      </c>
      <c r="C16" s="57" t="s">
        <v>1824</v>
      </c>
      <c r="D16" s="57" t="s">
        <v>1825</v>
      </c>
      <c r="E16" s="56" t="s">
        <v>127</v>
      </c>
      <c r="F16" s="56" t="s">
        <v>1739</v>
      </c>
      <c r="G16" s="56" t="str">
        <f t="shared" si="3"/>
        <v>text</v>
      </c>
      <c r="H16" s="59"/>
      <c r="I16" s="60" t="s">
        <v>127</v>
      </c>
      <c r="J16" s="64"/>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ENT_01_A1-14</v>
      </c>
      <c r="E6" s="240"/>
      <c r="F6" s="240"/>
      <c r="G6" s="240"/>
      <c r="H6" s="240"/>
      <c r="I6" s="240"/>
      <c r="J6" s="241"/>
    </row>
    <row r="7" spans="1:45">
      <c r="B7" s="229" t="s">
        <v>115</v>
      </c>
      <c r="C7" s="230"/>
      <c r="D7" s="231" t="s">
        <v>1851</v>
      </c>
      <c r="E7" s="232"/>
      <c r="F7" s="232"/>
      <c r="G7" s="232"/>
      <c r="H7" s="232"/>
      <c r="I7" s="232"/>
      <c r="J7" s="233"/>
    </row>
    <row r="8" spans="1:45">
      <c r="B8" s="229" t="s">
        <v>116</v>
      </c>
      <c r="C8" s="230"/>
      <c r="D8" s="231" t="str">
        <f>エンティティ一覧!AE2&amp;"_"&amp;D5&amp;"_mart_patient_basic"</f>
        <v>sny_202310_backup_mart_patient_basic</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患者基本データテーブルから組入れ条件の第一条件で絞り込んだ結果を格納するテーブル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milscm_2023_009.sny_202310_backup_mart_patient_basic;</v>
      </c>
      <c r="O10" s="76"/>
      <c r="P10" s="76"/>
      <c r="Q10" s="76"/>
      <c r="R10" s="76"/>
      <c r="S10" s="76"/>
      <c r="T10" s="76"/>
      <c r="AJ10" s="76" t="str">
        <f>"ALTER TABLE ONLY "&amp;エンティティ一覧!$O$2&amp;"."&amp;D$8</f>
        <v>ALTER TABLE ONLY milscm_2023_009.sny_202310_backup_mart_patient_basic</v>
      </c>
      <c r="AS10" s="76" t="str">
        <f>"ALTER TABLE "&amp;エンティティ一覧!$O$2&amp;"."&amp;D$8&amp;" OWNER TO pgmisgrp1;"</f>
        <v>ALTER TABLE milscm_2023_009.sny_202310_backup_mart_patient_basic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milscm_2023_009.sny_202310_backup_mart_patient_basic</v>
      </c>
      <c r="O11" s="76"/>
      <c r="P11" s="76"/>
      <c r="Q11" s="76"/>
      <c r="R11" s="76"/>
      <c r="S11" s="76"/>
      <c r="T11" s="76"/>
      <c r="AJ11" s="76" t="str">
        <f>"ADD CONSTRAINT "&amp;D$8&amp;"_pkey PRIMARY KEY"</f>
        <v>ADD CONSTRAINT sny_202310_backup_mart_patient_basic_pkey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1846</v>
      </c>
      <c r="D14" s="6" t="s">
        <v>1847</v>
      </c>
      <c r="E14" s="8" t="s">
        <v>127</v>
      </c>
      <c r="F14" s="7" t="s">
        <v>1830</v>
      </c>
      <c r="G14" s="7" t="str">
        <f t="shared" ref="G14:G21" si="3">IF(F14="フラグ","boolean",IF(F14="文字列","text",IF(F14="整数","integer",IF(F14="実数","numeric",""))))</f>
        <v>text</v>
      </c>
      <c r="H14" s="26"/>
      <c r="I14" s="10" t="s">
        <v>127</v>
      </c>
      <c r="J14" s="11" t="s">
        <v>1848</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1822</v>
      </c>
      <c r="D15" s="6" t="s">
        <v>208</v>
      </c>
      <c r="E15" s="8" t="s">
        <v>127</v>
      </c>
      <c r="F15" s="7" t="s">
        <v>1823</v>
      </c>
      <c r="G15" s="7" t="str">
        <f t="shared" ref="G15:G19" si="7">IF(F15="フラグ","boolean",IF(F15="文字列","text",IF(F15="整数","integer",IF(F15="実数","numeric",""))))</f>
        <v>text</v>
      </c>
      <c r="H15" s="26"/>
      <c r="I15" s="10" t="s">
        <v>127</v>
      </c>
      <c r="J15" s="11" t="s">
        <v>1826</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1828</v>
      </c>
      <c r="D16" s="6" t="s">
        <v>1829</v>
      </c>
      <c r="E16" s="8"/>
      <c r="F16" s="7" t="s">
        <v>1830</v>
      </c>
      <c r="G16" s="7" t="str">
        <f t="shared" si="7"/>
        <v>text</v>
      </c>
      <c r="H16" s="26"/>
      <c r="I16" s="10"/>
      <c r="J16" s="11" t="s">
        <v>1852</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1831</v>
      </c>
      <c r="D17" s="6" t="s">
        <v>1832</v>
      </c>
      <c r="E17" s="8"/>
      <c r="F17" s="7" t="s">
        <v>1823</v>
      </c>
      <c r="G17" s="7" t="str">
        <f t="shared" si="7"/>
        <v>text</v>
      </c>
      <c r="H17" s="26"/>
      <c r="I17" s="10"/>
      <c r="J17" s="11" t="s">
        <v>1852</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milscm_2023_009.sny_202310_backup_mart_patient_basic.shinryo_ym_max IS '診療年月_最大';</v>
      </c>
    </row>
    <row r="18" spans="1:52" s="25" customFormat="1">
      <c r="A18" s="4"/>
      <c r="B18" s="21">
        <f t="shared" si="2"/>
        <v>6</v>
      </c>
      <c r="C18" s="6" t="s">
        <v>1833</v>
      </c>
      <c r="D18" s="6" t="s">
        <v>947</v>
      </c>
      <c r="E18" s="8"/>
      <c r="F18" s="7" t="s">
        <v>1739</v>
      </c>
      <c r="G18" s="7" t="str">
        <f t="shared" si="7"/>
        <v>text</v>
      </c>
      <c r="H18" s="26"/>
      <c r="I18" s="10" t="s">
        <v>127</v>
      </c>
      <c r="J18" s="11" t="s">
        <v>1853</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milscm_2023_009.sny_202310_backup_mart_patient_basic.sex_kubun IS '男女区分';</v>
      </c>
    </row>
    <row r="19" spans="1:52" s="25" customFormat="1" ht="56.25">
      <c r="A19" s="4"/>
      <c r="B19" s="21">
        <f t="shared" si="2"/>
        <v>7</v>
      </c>
      <c r="C19" s="6" t="s">
        <v>1834</v>
      </c>
      <c r="D19" s="6" t="s">
        <v>322</v>
      </c>
      <c r="E19" s="8"/>
      <c r="F19" s="7" t="s">
        <v>1739</v>
      </c>
      <c r="G19" s="7" t="str">
        <f t="shared" si="7"/>
        <v>text</v>
      </c>
      <c r="H19" s="26"/>
      <c r="I19" s="10" t="s">
        <v>127</v>
      </c>
      <c r="J19" s="11" t="s">
        <v>1854</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milscm_2023_009.sny_202310_backup_mart_patient_basic.birthday IS '生年月日';</v>
      </c>
    </row>
    <row r="20" spans="1:52" s="25" customFormat="1" ht="75">
      <c r="A20" s="4"/>
      <c r="B20" s="21">
        <f t="shared" si="2"/>
        <v>8</v>
      </c>
      <c r="C20" s="6" t="s">
        <v>1280</v>
      </c>
      <c r="D20" s="6" t="s">
        <v>1281</v>
      </c>
      <c r="E20" s="8"/>
      <c r="F20" s="7" t="s">
        <v>317</v>
      </c>
      <c r="G20" s="7" t="str">
        <f t="shared" si="3"/>
        <v>text</v>
      </c>
      <c r="H20" s="26"/>
      <c r="I20" s="10"/>
      <c r="J20" s="11" t="s">
        <v>1855</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milscm_2023_009.sny_202310_backup_mart_patient_basic.death_flag IS '死亡フラグ';</v>
      </c>
    </row>
    <row r="21" spans="1:52" s="25" customFormat="1" ht="75.75" thickBot="1">
      <c r="A21" s="4"/>
      <c r="B21" s="27">
        <f>ROW()-12</f>
        <v>9</v>
      </c>
      <c r="C21" s="57" t="s">
        <v>1282</v>
      </c>
      <c r="D21" s="57" t="s">
        <v>1283</v>
      </c>
      <c r="E21" s="56"/>
      <c r="F21" s="56" t="s">
        <v>317</v>
      </c>
      <c r="G21" s="56" t="str">
        <f t="shared" si="3"/>
        <v>text</v>
      </c>
      <c r="H21" s="59"/>
      <c r="I21" s="60"/>
      <c r="J21" s="64" t="s">
        <v>1856</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ENT_01_A3-02</v>
      </c>
      <c r="E6" s="240"/>
      <c r="F6" s="240"/>
      <c r="G6" s="240"/>
      <c r="H6" s="240"/>
      <c r="I6" s="240"/>
      <c r="J6" s="241"/>
    </row>
    <row r="7" spans="1:45">
      <c r="B7" s="229" t="s">
        <v>115</v>
      </c>
      <c r="C7" s="230"/>
      <c r="D7" s="231" t="s">
        <v>1857</v>
      </c>
      <c r="E7" s="232"/>
      <c r="F7" s="232"/>
      <c r="G7" s="232"/>
      <c r="H7" s="232"/>
      <c r="I7" s="232"/>
      <c r="J7" s="233"/>
    </row>
    <row r="8" spans="1:45">
      <c r="B8" s="229" t="s">
        <v>116</v>
      </c>
      <c r="C8" s="230"/>
      <c r="D8" s="231" t="str">
        <f>エンティティ一覧!AE2&amp;"_"&amp;D5&amp;"_mt_shisetsu_zokusei"</f>
        <v>sny_202310_backup_mt_shisetsu_zokusei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milscm_2023_009.sny_202310_backup_mt_shisetsu_zokusei;</v>
      </c>
      <c r="O10" s="76"/>
      <c r="P10" s="76"/>
      <c r="Q10" s="76"/>
      <c r="R10" s="76"/>
      <c r="S10" s="76"/>
      <c r="T10" s="76"/>
      <c r="AJ10" s="76" t="str">
        <f>"ALTER TABLE ONLY "&amp;エンティティ一覧!$O$2&amp;"."&amp;D$8</f>
        <v>ALTER TABLE ONLY milscm_2023_009.sny_202310_backup_mt_shisetsu_zokusei</v>
      </c>
      <c r="AS10" s="76" t="str">
        <f>"ALTER TABLE "&amp;エンティティ一覧!$O$2&amp;"."&amp;D$8&amp;" OWNER TO pgmisgrp1;"</f>
        <v>ALTER TABLE milscm_2023_009.sny_202310_backup_mt_shisetsu_zokusei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milscm_2023_009.sny_202310_backup_mt_shisetsu_zokusei</v>
      </c>
      <c r="O11" s="76"/>
      <c r="P11" s="76"/>
      <c r="Q11" s="76"/>
      <c r="R11" s="76"/>
      <c r="S11" s="76"/>
      <c r="T11" s="76"/>
      <c r="AJ11" s="76" t="str">
        <f>"ADD CONSTRAINT "&amp;D$8&amp;"_pkey PRIMARY KEY"</f>
        <v>ADD CONSTRAINT sny_202310_backup_mt_shisetsu_zokusei_pkey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1884</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milscm_2023_009.sny_202310_backup_mt_shisetsu_zokusei.facility_id IS '施設ID';</v>
      </c>
    </row>
    <row r="14" spans="1:45" s="25" customFormat="1">
      <c r="A14" s="4"/>
      <c r="B14" s="21">
        <f t="shared" ref="B14:B25" si="2">ROW()-12</f>
        <v>2</v>
      </c>
      <c r="C14" s="6" t="s">
        <v>1858</v>
      </c>
      <c r="D14" s="6" t="s">
        <v>1859</v>
      </c>
      <c r="E14" s="8"/>
      <c r="F14" s="7" t="s">
        <v>204</v>
      </c>
      <c r="G14" s="7" t="str">
        <f t="shared" ref="G14:G26" si="3">IF(F14="フラグ","boolean",IF(F14="文字列","text",IF(F14="整数","integer",IF(F14="実数","numeric",""))))</f>
        <v>integer</v>
      </c>
      <c r="H14" s="26">
        <v>0</v>
      </c>
      <c r="I14" s="10" t="s">
        <v>127</v>
      </c>
      <c r="J14" s="11" t="s">
        <v>1885</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milscm_2023_009.sny_202310_backup_mt_shisetsu_zokusei.ippan_bed IS '一般病床';</v>
      </c>
    </row>
    <row r="15" spans="1:45" s="25" customFormat="1">
      <c r="A15" s="4"/>
      <c r="B15" s="21">
        <f t="shared" si="2"/>
        <v>3</v>
      </c>
      <c r="C15" s="6" t="s">
        <v>1860</v>
      </c>
      <c r="D15" s="6" t="s">
        <v>1861</v>
      </c>
      <c r="E15" s="8"/>
      <c r="F15" s="7" t="s">
        <v>204</v>
      </c>
      <c r="G15" s="7" t="str">
        <f t="shared" si="3"/>
        <v>integer</v>
      </c>
      <c r="H15" s="26">
        <v>0</v>
      </c>
      <c r="I15" s="10" t="s">
        <v>127</v>
      </c>
      <c r="J15" s="11" t="s">
        <v>1885</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milscm_2023_009.sny_202310_backup_mt_shisetsu_zokusei.seishin_bed IS '精神病床';</v>
      </c>
    </row>
    <row r="16" spans="1:45" s="25" customFormat="1">
      <c r="A16" s="4"/>
      <c r="B16" s="21">
        <f t="shared" si="2"/>
        <v>4</v>
      </c>
      <c r="C16" s="6" t="s">
        <v>1862</v>
      </c>
      <c r="D16" s="6" t="s">
        <v>1863</v>
      </c>
      <c r="E16" s="8"/>
      <c r="F16" s="7" t="s">
        <v>204</v>
      </c>
      <c r="G16" s="7" t="str">
        <f t="shared" si="3"/>
        <v>integer</v>
      </c>
      <c r="H16" s="26">
        <v>0</v>
      </c>
      <c r="I16" s="10" t="s">
        <v>127</v>
      </c>
      <c r="J16" s="11" t="s">
        <v>1885</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milscm_2023_009.sny_202310_backup_mt_shisetsu_zokusei.kansen_bed IS '感染症病床';</v>
      </c>
    </row>
    <row r="17" spans="1:52" s="25" customFormat="1">
      <c r="A17" s="4"/>
      <c r="B17" s="21">
        <f t="shared" si="2"/>
        <v>5</v>
      </c>
      <c r="C17" s="6" t="s">
        <v>1864</v>
      </c>
      <c r="D17" s="6" t="s">
        <v>1865</v>
      </c>
      <c r="E17" s="8"/>
      <c r="F17" s="7" t="s">
        <v>204</v>
      </c>
      <c r="G17" s="7" t="str">
        <f t="shared" si="3"/>
        <v>integer</v>
      </c>
      <c r="H17" s="26">
        <v>0</v>
      </c>
      <c r="I17" s="10" t="s">
        <v>127</v>
      </c>
      <c r="J17" s="11" t="s">
        <v>1885</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milscm_2023_009.sny_202310_backup_mt_shisetsu_zokusei.kekkaku_bed IS '結核病床';</v>
      </c>
    </row>
    <row r="18" spans="1:52" s="25" customFormat="1">
      <c r="A18" s="4"/>
      <c r="B18" s="21">
        <f t="shared" si="2"/>
        <v>6</v>
      </c>
      <c r="C18" s="6" t="s">
        <v>1866</v>
      </c>
      <c r="D18" s="6" t="s">
        <v>1867</v>
      </c>
      <c r="E18" s="8"/>
      <c r="F18" s="7" t="s">
        <v>204</v>
      </c>
      <c r="G18" s="7" t="str">
        <f t="shared" si="3"/>
        <v>integer</v>
      </c>
      <c r="H18" s="26">
        <v>0</v>
      </c>
      <c r="I18" s="10" t="s">
        <v>127</v>
      </c>
      <c r="J18" s="11" t="s">
        <v>1885</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milscm_2023_009.sny_202310_backup_mt_shisetsu_zokusei.ryouyou_bed IS '療養病床';</v>
      </c>
    </row>
    <row r="19" spans="1:52" s="25" customFormat="1" ht="37.5">
      <c r="A19" s="4"/>
      <c r="B19" s="21">
        <f t="shared" si="2"/>
        <v>7</v>
      </c>
      <c r="C19" s="6" t="s">
        <v>1868</v>
      </c>
      <c r="D19" s="6" t="s">
        <v>1869</v>
      </c>
      <c r="E19" s="8"/>
      <c r="F19" s="7" t="s">
        <v>737</v>
      </c>
      <c r="G19" s="7" t="str">
        <f t="shared" si="3"/>
        <v>text</v>
      </c>
      <c r="H19" s="26">
        <v>0</v>
      </c>
      <c r="I19" s="10" t="s">
        <v>127</v>
      </c>
      <c r="J19" s="11" t="s">
        <v>1886</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milscm_2023_009.sny_202310_backup_mt_shisetsu_zokusei.univ_hp_f IS '大学病院F';</v>
      </c>
    </row>
    <row r="20" spans="1:52" s="25" customFormat="1" ht="56.25">
      <c r="A20" s="4"/>
      <c r="B20" s="21">
        <f t="shared" si="2"/>
        <v>8</v>
      </c>
      <c r="C20" s="6" t="s">
        <v>1870</v>
      </c>
      <c r="D20" s="6" t="s">
        <v>1871</v>
      </c>
      <c r="E20" s="8"/>
      <c r="F20" s="7" t="s">
        <v>737</v>
      </c>
      <c r="G20" s="7" t="str">
        <f t="shared" ref="G20:G24" si="7">IF(F20="フラグ","boolean",IF(F20="文字列","text",IF(F20="整数","integer",IF(F20="実数","numeric",""))))</f>
        <v>text</v>
      </c>
      <c r="H20" s="26">
        <v>0</v>
      </c>
      <c r="I20" s="10" t="s">
        <v>127</v>
      </c>
      <c r="J20" s="11" t="s">
        <v>1887</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milscm_2023_009.sny_202310_backup_mt_shisetsu_zokusei.tokutei_hp_f IS '特定機能病院F';</v>
      </c>
    </row>
    <row r="21" spans="1:52" s="25" customFormat="1" ht="112.5">
      <c r="A21" s="4"/>
      <c r="B21" s="21">
        <f t="shared" si="2"/>
        <v>9</v>
      </c>
      <c r="C21" s="6" t="s">
        <v>1872</v>
      </c>
      <c r="D21" s="6" t="s">
        <v>1873</v>
      </c>
      <c r="E21" s="8"/>
      <c r="F21" s="7" t="s">
        <v>204</v>
      </c>
      <c r="G21" s="7" t="str">
        <f t="shared" si="7"/>
        <v>integer</v>
      </c>
      <c r="H21" s="26">
        <v>0</v>
      </c>
      <c r="I21" s="10" t="s">
        <v>127</v>
      </c>
      <c r="J21" s="11" t="s">
        <v>1888</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milscm_2023_009.sny_202310_backup_mt_shisetsu_zokusei.cancer_hp_f IS 'がん拠点病院F';</v>
      </c>
    </row>
    <row r="22" spans="1:52" s="25" customFormat="1" ht="37.5">
      <c r="A22" s="4"/>
      <c r="B22" s="21">
        <f t="shared" si="2"/>
        <v>10</v>
      </c>
      <c r="C22" s="6" t="s">
        <v>1874</v>
      </c>
      <c r="D22" s="6" t="s">
        <v>1875</v>
      </c>
      <c r="E22" s="8"/>
      <c r="F22" s="7" t="s">
        <v>737</v>
      </c>
      <c r="G22" s="7" t="str">
        <f t="shared" si="7"/>
        <v>text</v>
      </c>
      <c r="H22" s="26">
        <v>0</v>
      </c>
      <c r="I22" s="10" t="s">
        <v>127</v>
      </c>
      <c r="J22" s="11" t="s">
        <v>1889</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milscm_2023_009.sny_202310_backup_mt_shisetsu_zokusei.high_acute_care_hp_f IS '高度急性期病院F';</v>
      </c>
    </row>
    <row r="23" spans="1:52" s="25" customFormat="1" ht="37.5">
      <c r="A23" s="4"/>
      <c r="B23" s="21">
        <f t="shared" si="2"/>
        <v>11</v>
      </c>
      <c r="C23" s="6" t="s">
        <v>1876</v>
      </c>
      <c r="D23" s="6" t="s">
        <v>1877</v>
      </c>
      <c r="E23" s="8"/>
      <c r="F23" s="7" t="s">
        <v>737</v>
      </c>
      <c r="G23" s="7" t="str">
        <f t="shared" si="7"/>
        <v>text</v>
      </c>
      <c r="H23" s="26">
        <v>0</v>
      </c>
      <c r="I23" s="10" t="s">
        <v>127</v>
      </c>
      <c r="J23" s="11" t="s">
        <v>1890</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1878</v>
      </c>
      <c r="D24" s="6" t="s">
        <v>1879</v>
      </c>
      <c r="E24" s="8"/>
      <c r="F24" s="7" t="s">
        <v>737</v>
      </c>
      <c r="G24" s="7" t="str">
        <f t="shared" si="7"/>
        <v>text</v>
      </c>
      <c r="H24" s="26">
        <v>0</v>
      </c>
      <c r="I24" s="10" t="s">
        <v>127</v>
      </c>
      <c r="J24" s="11" t="s">
        <v>1891</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milscm_2023_009.sny_202310_backup_mt_shisetsu_zokusei.mil_exit_f IS '千年カルテ離脱施設フラグ';</v>
      </c>
    </row>
    <row r="25" spans="1:52" s="25" customFormat="1" ht="56.25">
      <c r="A25" s="4"/>
      <c r="B25" s="21">
        <f t="shared" si="2"/>
        <v>13</v>
      </c>
      <c r="C25" s="6" t="s">
        <v>1880</v>
      </c>
      <c r="D25" s="6" t="s">
        <v>1881</v>
      </c>
      <c r="E25" s="8" t="s">
        <v>127</v>
      </c>
      <c r="F25" s="7" t="s">
        <v>737</v>
      </c>
      <c r="G25" s="7" t="str">
        <f t="shared" si="3"/>
        <v>text</v>
      </c>
      <c r="H25" s="26">
        <v>999999</v>
      </c>
      <c r="I25" s="10" t="s">
        <v>127</v>
      </c>
      <c r="J25" s="11" t="s">
        <v>1892</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milscm_2023_009.sny_202310_backup_mt_shisetsu_zokusei.torikomi_kijun_ym IS '取込基準年月';</v>
      </c>
    </row>
    <row r="26" spans="1:52" s="25" customFormat="1" ht="19.5" thickBot="1">
      <c r="A26" s="4"/>
      <c r="B26" s="27">
        <f>ROW()-12</f>
        <v>14</v>
      </c>
      <c r="C26" s="57" t="s">
        <v>1882</v>
      </c>
      <c r="D26" s="57" t="s">
        <v>1883</v>
      </c>
      <c r="E26" s="56"/>
      <c r="F26" s="56" t="s">
        <v>737</v>
      </c>
      <c r="G26" s="56" t="str">
        <f t="shared" si="3"/>
        <v>text</v>
      </c>
      <c r="H26" s="59">
        <v>99999999</v>
      </c>
      <c r="I26" s="60" t="s">
        <v>127</v>
      </c>
      <c r="J26" s="64" t="s">
        <v>1796</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ENT_01_A3-03</v>
      </c>
      <c r="E6" s="240"/>
      <c r="F6" s="240"/>
      <c r="G6" s="240"/>
      <c r="H6" s="240"/>
      <c r="I6" s="240"/>
      <c r="J6" s="241"/>
    </row>
    <row r="7" spans="1:45">
      <c r="B7" s="229" t="s">
        <v>115</v>
      </c>
      <c r="C7" s="230"/>
      <c r="D7" s="231" t="s">
        <v>1893</v>
      </c>
      <c r="E7" s="232"/>
      <c r="F7" s="232"/>
      <c r="G7" s="232"/>
      <c r="H7" s="232"/>
      <c r="I7" s="232"/>
      <c r="J7" s="233"/>
    </row>
    <row r="8" spans="1:45">
      <c r="B8" s="229" t="s">
        <v>116</v>
      </c>
      <c r="C8" s="230"/>
      <c r="D8" s="231" t="str">
        <f>エンティティ一覧!AE2&amp;"_"&amp;D5&amp;"_mt_iryouken2"</f>
        <v>sny_202310_backup_mt_iryouken2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milscm_2023_009.sny_202310_backup_mt_iryouken2;</v>
      </c>
      <c r="O10" s="76"/>
      <c r="P10" s="76"/>
      <c r="Q10" s="76"/>
      <c r="R10" s="76"/>
      <c r="S10" s="76"/>
      <c r="T10" s="76"/>
      <c r="AJ10" s="76" t="str">
        <f>"ALTER TABLE ONLY "&amp;エンティティ一覧!$O$2&amp;"."&amp;D$8</f>
        <v>ALTER TABLE ONLY milscm_2023_009.sny_202310_backup_mt_iryouken2</v>
      </c>
      <c r="AS10" s="76" t="str">
        <f>"ALTER TABLE "&amp;エンティティ一覧!$O$2&amp;"."&amp;D$8&amp;" OWNER TO pgmisgrp1;"</f>
        <v>ALTER TABLE milscm_2023_009.sny_202310_backup_mt_iryouken2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milscm_2023_009.sny_202310_backup_mt_iryouken2</v>
      </c>
      <c r="O11" s="76"/>
      <c r="P11" s="76"/>
      <c r="Q11" s="76"/>
      <c r="R11" s="76"/>
      <c r="S11" s="76"/>
      <c r="T11" s="76"/>
      <c r="AJ11" s="76" t="str">
        <f>"ADD CONSTRAINT "&amp;D$8&amp;"_pkey PRIMARY KEY"</f>
        <v>ADD CONSTRAINT sny_202310_backup_mt_iryouken2_pkey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milscm_2023_009.sny_202310_backup_mt_iryouken2 IS 'バックアップ_二次医療圏マスタ取込用';</v>
      </c>
    </row>
    <row r="13" spans="1:45" s="25" customFormat="1" ht="37.5">
      <c r="A13" s="4"/>
      <c r="B13" s="21">
        <f>ROW()-12</f>
        <v>1</v>
      </c>
      <c r="C13" s="6" t="s">
        <v>1894</v>
      </c>
      <c r="D13" s="6" t="s">
        <v>1895</v>
      </c>
      <c r="E13" s="8"/>
      <c r="F13" s="8" t="s">
        <v>737</v>
      </c>
      <c r="G13" s="7" t="str">
        <f>IF(F13="フラグ","boolean",IF(F13="文字列","text",IF(F13="整数","integer",IF(F13="実数","numeric",""))))</f>
        <v>text</v>
      </c>
      <c r="H13" s="9"/>
      <c r="I13" s="10" t="s">
        <v>127</v>
      </c>
      <c r="J13" s="11" t="s">
        <v>1911</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milscm_2023_009.sny_202310_backup_mt_iryouken2.iryouken2_cd IS '二次医療圏コード';</v>
      </c>
    </row>
    <row r="14" spans="1:45" s="25" customFormat="1" ht="37.5">
      <c r="A14" s="4"/>
      <c r="B14" s="21">
        <f t="shared" ref="B14:B21" si="2">ROW()-12</f>
        <v>2</v>
      </c>
      <c r="C14" s="6" t="s">
        <v>1896</v>
      </c>
      <c r="D14" s="6" t="s">
        <v>1897</v>
      </c>
      <c r="E14" s="8"/>
      <c r="F14" s="7" t="s">
        <v>737</v>
      </c>
      <c r="G14" s="7" t="str">
        <f t="shared" ref="G14:G22" si="3">IF(F14="フラグ","boolean",IF(F14="文字列","text",IF(F14="整数","integer",IF(F14="実数","numeric",""))))</f>
        <v>text</v>
      </c>
      <c r="H14" s="26"/>
      <c r="I14" s="10"/>
      <c r="J14" s="11" t="s">
        <v>1911</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milscm_2023_009.sny_202310_backup_mt_iryouken2.iryouken2 IS '二次医療圏';</v>
      </c>
    </row>
    <row r="15" spans="1:45" s="25" customFormat="1" ht="37.5">
      <c r="A15" s="4"/>
      <c r="B15" s="21">
        <f t="shared" si="2"/>
        <v>3</v>
      </c>
      <c r="C15" s="6" t="s">
        <v>1898</v>
      </c>
      <c r="D15" s="6" t="s">
        <v>1899</v>
      </c>
      <c r="E15" s="8"/>
      <c r="F15" s="7" t="s">
        <v>737</v>
      </c>
      <c r="G15" s="7" t="str">
        <f t="shared" si="3"/>
        <v>text</v>
      </c>
      <c r="H15" s="26"/>
      <c r="I15" s="10" t="s">
        <v>127</v>
      </c>
      <c r="J15" s="11" t="s">
        <v>1911</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milscm_2023_009.sny_202310_backup_mt_iryouken2.prefecture_cd IS '都道府県コード';</v>
      </c>
    </row>
    <row r="16" spans="1:45" s="25" customFormat="1" ht="37.5">
      <c r="A16" s="4"/>
      <c r="B16" s="21">
        <f t="shared" si="2"/>
        <v>4</v>
      </c>
      <c r="C16" s="6" t="s">
        <v>1900</v>
      </c>
      <c r="D16" s="6" t="s">
        <v>919</v>
      </c>
      <c r="E16" s="8"/>
      <c r="F16" s="7" t="s">
        <v>737</v>
      </c>
      <c r="G16" s="7" t="str">
        <f t="shared" si="3"/>
        <v>text</v>
      </c>
      <c r="H16" s="26"/>
      <c r="I16" s="10" t="s">
        <v>127</v>
      </c>
      <c r="J16" s="11" t="s">
        <v>1911</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milscm_2023_009.sny_202310_backup_mt_iryouken2.prefecture IS '都道府県名';</v>
      </c>
    </row>
    <row r="17" spans="1:52" s="25" customFormat="1" ht="37.5">
      <c r="A17" s="4"/>
      <c r="B17" s="21">
        <f t="shared" si="2"/>
        <v>5</v>
      </c>
      <c r="C17" s="6" t="s">
        <v>1901</v>
      </c>
      <c r="D17" s="6" t="s">
        <v>1902</v>
      </c>
      <c r="E17" s="8" t="s">
        <v>127</v>
      </c>
      <c r="F17" s="7" t="s">
        <v>737</v>
      </c>
      <c r="G17" s="7" t="str">
        <f t="shared" si="3"/>
        <v>text</v>
      </c>
      <c r="H17" s="26"/>
      <c r="I17" s="10" t="s">
        <v>127</v>
      </c>
      <c r="J17" s="11" t="s">
        <v>1911</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milscm_2023_009.sny_202310_backup_mt_iryouken2.city_code IS '市区町村コード';</v>
      </c>
    </row>
    <row r="18" spans="1:52" s="25" customFormat="1" ht="37.5">
      <c r="A18" s="4"/>
      <c r="B18" s="21">
        <f t="shared" si="2"/>
        <v>6</v>
      </c>
      <c r="C18" s="6" t="s">
        <v>1903</v>
      </c>
      <c r="D18" s="6" t="s">
        <v>1904</v>
      </c>
      <c r="E18" s="8"/>
      <c r="F18" s="7" t="s">
        <v>737</v>
      </c>
      <c r="G18" s="7" t="str">
        <f t="shared" si="3"/>
        <v>text</v>
      </c>
      <c r="H18" s="26"/>
      <c r="I18" s="10" t="s">
        <v>127</v>
      </c>
      <c r="J18" s="11" t="s">
        <v>1911</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milscm_2023_009.sny_202310_backup_mt_iryouken2.city IS '市区町村';</v>
      </c>
    </row>
    <row r="19" spans="1:52" s="25" customFormat="1" ht="37.5">
      <c r="A19" s="4"/>
      <c r="B19" s="21">
        <f t="shared" si="2"/>
        <v>7</v>
      </c>
      <c r="C19" s="6" t="s">
        <v>1905</v>
      </c>
      <c r="D19" s="6" t="s">
        <v>1906</v>
      </c>
      <c r="E19" s="8"/>
      <c r="F19" s="7" t="s">
        <v>737</v>
      </c>
      <c r="G19" s="7" t="str">
        <f t="shared" si="3"/>
        <v>text</v>
      </c>
      <c r="H19" s="26">
        <v>0</v>
      </c>
      <c r="I19" s="10" t="s">
        <v>127</v>
      </c>
      <c r="J19" s="11" t="s">
        <v>1911</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milscm_2023_009.sny_202310_backup_mt_iryouken2.del_f IS '削除フラグ';</v>
      </c>
    </row>
    <row r="20" spans="1:52" s="25" customFormat="1" ht="56.25">
      <c r="A20" s="4"/>
      <c r="B20" s="21">
        <f t="shared" si="2"/>
        <v>8</v>
      </c>
      <c r="C20" s="6" t="s">
        <v>1882</v>
      </c>
      <c r="D20" s="6" t="s">
        <v>1883</v>
      </c>
      <c r="E20" s="8" t="s">
        <v>127</v>
      </c>
      <c r="F20" s="7" t="s">
        <v>737</v>
      </c>
      <c r="G20" s="7" t="str">
        <f t="shared" si="3"/>
        <v>text</v>
      </c>
      <c r="H20" s="26">
        <v>99999999</v>
      </c>
      <c r="I20" s="10" t="s">
        <v>127</v>
      </c>
      <c r="J20" s="11" t="s">
        <v>1912</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milscm_2023_009.sny_202310_backup_mt_iryouken2.update_ymd IS 'データ登録年月日';</v>
      </c>
    </row>
    <row r="21" spans="1:52" s="25" customFormat="1" ht="56.25">
      <c r="A21" s="4"/>
      <c r="B21" s="21">
        <f t="shared" si="2"/>
        <v>9</v>
      </c>
      <c r="C21" s="6" t="s">
        <v>1907</v>
      </c>
      <c r="D21" s="6" t="s">
        <v>1908</v>
      </c>
      <c r="E21" s="8"/>
      <c r="F21" s="7" t="s">
        <v>737</v>
      </c>
      <c r="G21" s="7" t="str">
        <f t="shared" si="3"/>
        <v>text</v>
      </c>
      <c r="H21" s="26">
        <v>99999999</v>
      </c>
      <c r="I21" s="10" t="s">
        <v>127</v>
      </c>
      <c r="J21" s="11" t="s">
        <v>1912</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milscm_2023_009.sny_202310_backup_mt_iryouken2.henkou_ymd IS '変更年月日';</v>
      </c>
    </row>
    <row r="22" spans="1:52" s="25" customFormat="1" ht="57" thickBot="1">
      <c r="A22" s="4"/>
      <c r="B22" s="27">
        <f>ROW()-12</f>
        <v>10</v>
      </c>
      <c r="C22" s="57" t="s">
        <v>1909</v>
      </c>
      <c r="D22" s="57" t="s">
        <v>1910</v>
      </c>
      <c r="E22" s="56"/>
      <c r="F22" s="56" t="s">
        <v>737</v>
      </c>
      <c r="G22" s="56" t="str">
        <f t="shared" si="3"/>
        <v>text</v>
      </c>
      <c r="H22" s="59">
        <v>99999999</v>
      </c>
      <c r="I22" s="60" t="s">
        <v>127</v>
      </c>
      <c r="J22" s="64" t="s">
        <v>1912</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ENT_01_A3-04</v>
      </c>
      <c r="E6" s="240"/>
      <c r="F6" s="240"/>
      <c r="G6" s="240"/>
      <c r="H6" s="240"/>
      <c r="I6" s="240"/>
      <c r="J6" s="241"/>
    </row>
    <row r="7" spans="1:45">
      <c r="B7" s="229" t="s">
        <v>115</v>
      </c>
      <c r="C7" s="230"/>
      <c r="D7" s="231" t="s">
        <v>1913</v>
      </c>
      <c r="E7" s="232"/>
      <c r="F7" s="232"/>
      <c r="G7" s="232"/>
      <c r="H7" s="232"/>
      <c r="I7" s="232"/>
      <c r="J7" s="233"/>
    </row>
    <row r="8" spans="1:45">
      <c r="B8" s="229" t="s">
        <v>116</v>
      </c>
      <c r="C8" s="230"/>
      <c r="D8" s="231" t="str">
        <f>エンティティ一覧!AE2&amp;"_"&amp;D5&amp;"_mt_old_new_iyakuhin"</f>
        <v>sny_202310_backup_mt_old_new_iyakuhin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milscm_2023_009.sny_202310_backup_mt_old_new_iyakuhin;</v>
      </c>
      <c r="O10" s="76"/>
      <c r="P10" s="76"/>
      <c r="Q10" s="76"/>
      <c r="R10" s="76"/>
      <c r="S10" s="76"/>
      <c r="T10" s="76"/>
      <c r="AJ10" s="76" t="str">
        <f>"ALTER TABLE ONLY "&amp;エンティティ一覧!$O$2&amp;"."&amp;D$8</f>
        <v>ALTER TABLE ONLY milscm_2023_009.sny_202310_backup_mt_old_new_iyakuhin</v>
      </c>
      <c r="AS10" s="76" t="str">
        <f>"ALTER TABLE "&amp;エンティティ一覧!$O$2&amp;"."&amp;D$8&amp;" OWNER TO pgmisgrp1;"</f>
        <v>ALTER TABLE milscm_2023_009.sny_202310_backup_mt_old_new_iyakuhin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milscm_2023_009.sny_202310_backup_mt_old_new_iyakuhin</v>
      </c>
      <c r="O11" s="76"/>
      <c r="P11" s="76"/>
      <c r="Q11" s="76"/>
      <c r="R11" s="76"/>
      <c r="S11" s="76"/>
      <c r="T11" s="76"/>
      <c r="AJ11" s="76" t="str">
        <f>"ADD CONSTRAINT "&amp;D$8&amp;"_pkey PRIMARY KEY"</f>
        <v>ADD CONSTRAINT sny_202310_backup_mt_old_new_iyakuhin_pkey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milscm_2023_009.sny_202310_backup_mt_old_new_iyakuhin IS 'バックアップ_新旧医薬品コードマスタ取込用';</v>
      </c>
    </row>
    <row r="13" spans="1:45" s="25" customFormat="1" ht="37.5">
      <c r="A13" s="4"/>
      <c r="B13" s="21">
        <f>ROW()-12</f>
        <v>1</v>
      </c>
      <c r="C13" s="6" t="s">
        <v>1915</v>
      </c>
      <c r="D13" s="6" t="s">
        <v>1916</v>
      </c>
      <c r="E13" s="8" t="s">
        <v>127</v>
      </c>
      <c r="F13" s="8" t="s">
        <v>737</v>
      </c>
      <c r="G13" s="7" t="str">
        <f>IF(F13="フラグ","boolean",IF(F13="文字列","text",IF(F13="整数","integer",IF(F13="実数","numeric",""))))</f>
        <v>text</v>
      </c>
      <c r="H13" s="9" t="s">
        <v>1922</v>
      </c>
      <c r="I13" s="10" t="s">
        <v>127</v>
      </c>
      <c r="J13" s="11" t="s">
        <v>1923</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milscm_2023_009.sny_202310_backup_mt_old_new_iyakuhin.siko_ymd IS '施行年月日';</v>
      </c>
    </row>
    <row r="14" spans="1:45" s="25" customFormat="1" ht="37.5">
      <c r="A14" s="4"/>
      <c r="B14" s="21">
        <f t="shared" ref="B14:B15" si="2">ROW()-12</f>
        <v>2</v>
      </c>
      <c r="C14" s="6" t="s">
        <v>1917</v>
      </c>
      <c r="D14" s="6" t="s">
        <v>1918</v>
      </c>
      <c r="E14" s="8" t="s">
        <v>127</v>
      </c>
      <c r="F14" s="7" t="s">
        <v>737</v>
      </c>
      <c r="G14" s="7" t="str">
        <f t="shared" ref="G14:G16" si="3">IF(F14="フラグ","boolean",IF(F14="文字列","text",IF(F14="整数","integer",IF(F14="実数","numeric",""))))</f>
        <v>text</v>
      </c>
      <c r="H14" s="26"/>
      <c r="I14" s="10" t="s">
        <v>127</v>
      </c>
      <c r="J14" s="11" t="s">
        <v>1924</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milscm_2023_009.sny_202310_backup_mt_old_new_iyakuhin.old_iyakuhin_cd IS '旧医薬品コード';</v>
      </c>
    </row>
    <row r="15" spans="1:45" s="25" customFormat="1" ht="37.5">
      <c r="A15" s="4"/>
      <c r="B15" s="21">
        <f t="shared" si="2"/>
        <v>3</v>
      </c>
      <c r="C15" s="6" t="s">
        <v>1919</v>
      </c>
      <c r="D15" s="6" t="s">
        <v>1920</v>
      </c>
      <c r="E15" s="8" t="s">
        <v>127</v>
      </c>
      <c r="F15" s="7" t="s">
        <v>737</v>
      </c>
      <c r="G15" s="7" t="str">
        <f t="shared" si="3"/>
        <v>text</v>
      </c>
      <c r="H15" s="26"/>
      <c r="I15" s="10" t="s">
        <v>127</v>
      </c>
      <c r="J15" s="11" t="s">
        <v>1925</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milscm_2023_009.sny_202310_backup_mt_old_new_iyakuhin.new_iyakuhin_cd IS '新医薬品コード';</v>
      </c>
    </row>
    <row r="16" spans="1:45" s="25" customFormat="1" ht="38.25" thickBot="1">
      <c r="A16" s="4"/>
      <c r="B16" s="27">
        <f>ROW()-12</f>
        <v>4</v>
      </c>
      <c r="C16" s="57" t="s">
        <v>1921</v>
      </c>
      <c r="D16" s="57" t="s">
        <v>1883</v>
      </c>
      <c r="E16" s="56"/>
      <c r="F16" s="56" t="s">
        <v>737</v>
      </c>
      <c r="G16" s="56" t="str">
        <f t="shared" si="3"/>
        <v>text</v>
      </c>
      <c r="H16" s="59">
        <v>99999999</v>
      </c>
      <c r="I16" s="60" t="s">
        <v>127</v>
      </c>
      <c r="J16" s="64" t="s">
        <v>1926</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ENT_01_A3-05</v>
      </c>
      <c r="E6" s="240"/>
      <c r="F6" s="240"/>
      <c r="G6" s="240"/>
      <c r="H6" s="240"/>
      <c r="I6" s="240"/>
      <c r="J6" s="241"/>
    </row>
    <row r="7" spans="1:45">
      <c r="B7" s="229" t="s">
        <v>115</v>
      </c>
      <c r="C7" s="230"/>
      <c r="D7" s="231" t="s">
        <v>1927</v>
      </c>
      <c r="E7" s="232"/>
      <c r="F7" s="232"/>
      <c r="G7" s="232"/>
      <c r="H7" s="232"/>
      <c r="I7" s="232"/>
      <c r="J7" s="233"/>
    </row>
    <row r="8" spans="1:45">
      <c r="B8" s="229" t="s">
        <v>116</v>
      </c>
      <c r="C8" s="230"/>
      <c r="D8" s="231" t="str">
        <f>エンティティ一覧!AE2&amp;"_"&amp;D5&amp;"_mt_dpc6_icd"</f>
        <v>sny_202310_backup_mt_dpc6_icd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milscm_2023_009.sny_202310_backup_mt_dpc6_icd;</v>
      </c>
      <c r="O10" s="76"/>
      <c r="P10" s="76"/>
      <c r="Q10" s="76"/>
      <c r="R10" s="76"/>
      <c r="S10" s="76"/>
      <c r="T10" s="76"/>
      <c r="AJ10" s="76" t="str">
        <f>"ALTER TABLE ONLY "&amp;エンティティ一覧!$O$2&amp;"."&amp;D$8</f>
        <v>ALTER TABLE ONLY milscm_2023_009.sny_202310_backup_mt_dpc6_icd</v>
      </c>
      <c r="AS10" s="76" t="str">
        <f>"ALTER TABLE "&amp;エンティティ一覧!$O$2&amp;"."&amp;D$8&amp;" OWNER TO pgmisgrp1;"</f>
        <v>ALTER TABLE milscm_2023_009.sny_202310_backup_mt_dpc6_icd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milscm_2023_009.sny_202310_backup_mt_dpc6_icd</v>
      </c>
      <c r="O11" s="76"/>
      <c r="P11" s="76"/>
      <c r="Q11" s="76"/>
      <c r="R11" s="76"/>
      <c r="S11" s="76"/>
      <c r="T11" s="76"/>
      <c r="AJ11" s="76" t="str">
        <f>"ADD CONSTRAINT "&amp;D$8&amp;"_pkey PRIMARY KEY"</f>
        <v>ADD CONSTRAINT sny_202310_backup_mt_dpc6_icd_pkey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milscm_2023_009.sny_202310_backup_mt_dpc6_icd IS 'バックアップ_DPC6ICD10対応表マスタ取込用';</v>
      </c>
    </row>
    <row r="13" spans="1:45" s="25" customFormat="1" ht="56.25">
      <c r="A13" s="4"/>
      <c r="B13" s="21">
        <f>ROW()-12</f>
        <v>1</v>
      </c>
      <c r="C13" s="6" t="s">
        <v>1915</v>
      </c>
      <c r="D13" s="6" t="s">
        <v>1916</v>
      </c>
      <c r="E13" s="8" t="s">
        <v>127</v>
      </c>
      <c r="F13" s="8" t="s">
        <v>737</v>
      </c>
      <c r="G13" s="7" t="str">
        <f>IF(F13="フラグ","boolean",IF(F13="文字列","text",IF(F13="整数","integer",IF(F13="実数","numeric",""))))</f>
        <v>text</v>
      </c>
      <c r="H13" s="9">
        <v>99999999</v>
      </c>
      <c r="I13" s="10" t="s">
        <v>127</v>
      </c>
      <c r="J13" s="11" t="s">
        <v>1941</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milscm_2023_009.sny_202310_backup_mt_dpc6_icd.siko_ymd IS '施行年月日';</v>
      </c>
    </row>
    <row r="14" spans="1:45" s="25" customFormat="1" ht="150">
      <c r="A14" s="4"/>
      <c r="B14" s="21">
        <f t="shared" ref="B14:B20" si="2">ROW()-12</f>
        <v>2</v>
      </c>
      <c r="C14" s="6" t="s">
        <v>1928</v>
      </c>
      <c r="D14" s="6" t="s">
        <v>1929</v>
      </c>
      <c r="E14" s="8" t="s">
        <v>127</v>
      </c>
      <c r="F14" s="7" t="s">
        <v>1739</v>
      </c>
      <c r="G14" s="7" t="str">
        <f t="shared" ref="G14:G21" si="3">IF(F14="フラグ","boolean",IF(F14="文字列","text",IF(F14="整数","integer",IF(F14="実数","numeric",""))))</f>
        <v>text</v>
      </c>
      <c r="H14" s="26"/>
      <c r="I14" s="10" t="s">
        <v>127</v>
      </c>
      <c r="J14" s="11" t="s">
        <v>1942</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milscm_2023_009.sny_202310_backup_mt_dpc6_icd.henkou_kubun IS '変更区分';</v>
      </c>
    </row>
    <row r="15" spans="1:45" s="25" customFormat="1" ht="37.5">
      <c r="A15" s="4"/>
      <c r="B15" s="21">
        <f t="shared" si="2"/>
        <v>3</v>
      </c>
      <c r="C15" s="6" t="s">
        <v>1930</v>
      </c>
      <c r="D15" s="6" t="s">
        <v>1931</v>
      </c>
      <c r="E15" s="8"/>
      <c r="F15" s="7" t="s">
        <v>737</v>
      </c>
      <c r="G15" s="7" t="str">
        <f t="shared" si="3"/>
        <v>text</v>
      </c>
      <c r="H15" s="26"/>
      <c r="I15" s="10" t="s">
        <v>127</v>
      </c>
      <c r="J15" s="11" t="s">
        <v>1943</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milscm_2023_009.sny_202310_backup_mt_dpc6_icd.dpc2_cd IS 'DPCコード2桁';</v>
      </c>
    </row>
    <row r="16" spans="1:45" s="25" customFormat="1" ht="37.5">
      <c r="A16" s="4"/>
      <c r="B16" s="21">
        <f t="shared" si="2"/>
        <v>4</v>
      </c>
      <c r="C16" s="6" t="s">
        <v>1932</v>
      </c>
      <c r="D16" s="6" t="s">
        <v>1933</v>
      </c>
      <c r="E16" s="8"/>
      <c r="F16" s="7" t="s">
        <v>737</v>
      </c>
      <c r="G16" s="7" t="str">
        <f t="shared" si="3"/>
        <v>text</v>
      </c>
      <c r="H16" s="26"/>
      <c r="I16" s="10" t="s">
        <v>127</v>
      </c>
      <c r="J16" s="11" t="s">
        <v>1943</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milscm_2023_009.sny_202310_backup_mt_dpc6_icd.dpc6_cd IS 'DPCコード6桁';</v>
      </c>
    </row>
    <row r="17" spans="1:52" s="25" customFormat="1" ht="37.5">
      <c r="A17" s="4"/>
      <c r="B17" s="21">
        <f t="shared" si="2"/>
        <v>5</v>
      </c>
      <c r="C17" s="6" t="s">
        <v>663</v>
      </c>
      <c r="D17" s="6" t="s">
        <v>1934</v>
      </c>
      <c r="E17" s="8" t="s">
        <v>127</v>
      </c>
      <c r="F17" s="7" t="s">
        <v>737</v>
      </c>
      <c r="G17" s="7" t="str">
        <f t="shared" si="3"/>
        <v>text</v>
      </c>
      <c r="H17" s="26"/>
      <c r="I17" s="10" t="s">
        <v>127</v>
      </c>
      <c r="J17" s="11" t="s">
        <v>1943</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milscm_2023_009.sny_202310_backup_mt_dpc6_icd.icd10_cd IS 'ICD10コード';</v>
      </c>
    </row>
    <row r="18" spans="1:52" s="25" customFormat="1" ht="37.5">
      <c r="A18" s="4"/>
      <c r="B18" s="21">
        <f t="shared" si="2"/>
        <v>6</v>
      </c>
      <c r="C18" s="6" t="s">
        <v>1935</v>
      </c>
      <c r="D18" s="6" t="s">
        <v>1936</v>
      </c>
      <c r="E18" s="8"/>
      <c r="F18" s="7" t="s">
        <v>737</v>
      </c>
      <c r="G18" s="7" t="str">
        <f t="shared" si="3"/>
        <v>text</v>
      </c>
      <c r="H18" s="26"/>
      <c r="I18" s="10" t="s">
        <v>127</v>
      </c>
      <c r="J18" s="11" t="s">
        <v>1943</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milscm_2023_009.sny_202310_backup_mt_dpc6_icd.icd10_name IS 'ICD名';</v>
      </c>
    </row>
    <row r="19" spans="1:52" s="25" customFormat="1" ht="56.25">
      <c r="A19" s="4"/>
      <c r="B19" s="21">
        <f t="shared" si="2"/>
        <v>7</v>
      </c>
      <c r="C19" s="6" t="s">
        <v>1937</v>
      </c>
      <c r="D19" s="6" t="s">
        <v>1938</v>
      </c>
      <c r="E19" s="8"/>
      <c r="F19" s="7" t="s">
        <v>737</v>
      </c>
      <c r="G19" s="7" t="str">
        <f t="shared" si="3"/>
        <v>text</v>
      </c>
      <c r="H19" s="26" t="s">
        <v>1944</v>
      </c>
      <c r="I19" s="10" t="s">
        <v>127</v>
      </c>
      <c r="J19" s="11" t="s">
        <v>1941</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milscm_2023_009.sny_202310_backup_mt_dpc6_icd.start_ymd IS '有効期間_開始年月日';</v>
      </c>
    </row>
    <row r="20" spans="1:52" s="25" customFormat="1" ht="56.25">
      <c r="A20" s="4"/>
      <c r="B20" s="21">
        <f t="shared" si="2"/>
        <v>8</v>
      </c>
      <c r="C20" s="6" t="s">
        <v>1939</v>
      </c>
      <c r="D20" s="6" t="s">
        <v>1940</v>
      </c>
      <c r="E20" s="8"/>
      <c r="F20" s="7" t="s">
        <v>737</v>
      </c>
      <c r="G20" s="7" t="str">
        <f t="shared" si="3"/>
        <v>text</v>
      </c>
      <c r="H20" s="26">
        <v>99999999</v>
      </c>
      <c r="I20" s="10" t="s">
        <v>127</v>
      </c>
      <c r="J20" s="11" t="s">
        <v>1941</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milscm_2023_009.sny_202310_backup_mt_dpc6_icd.end_ymd IS '有効期間_終了年月日';</v>
      </c>
    </row>
    <row r="21" spans="1:52" s="25" customFormat="1" ht="57" thickBot="1">
      <c r="A21" s="4"/>
      <c r="B21" s="27">
        <f>ROW()-12</f>
        <v>9</v>
      </c>
      <c r="C21" s="57" t="s">
        <v>1921</v>
      </c>
      <c r="D21" s="57" t="s">
        <v>1883</v>
      </c>
      <c r="E21" s="56"/>
      <c r="F21" s="56" t="s">
        <v>737</v>
      </c>
      <c r="G21" s="56" t="str">
        <f t="shared" si="3"/>
        <v>text</v>
      </c>
      <c r="H21" s="59">
        <v>99999999</v>
      </c>
      <c r="I21" s="60" t="s">
        <v>127</v>
      </c>
      <c r="J21" s="64" t="s">
        <v>1941</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ENT_01_A3-06</v>
      </c>
      <c r="E6" s="240"/>
      <c r="F6" s="240"/>
      <c r="G6" s="240"/>
      <c r="H6" s="240"/>
      <c r="I6" s="240"/>
      <c r="J6" s="241"/>
    </row>
    <row r="7" spans="1:45">
      <c r="B7" s="229" t="s">
        <v>115</v>
      </c>
      <c r="C7" s="230"/>
      <c r="D7" s="231" t="s">
        <v>1945</v>
      </c>
      <c r="E7" s="232"/>
      <c r="F7" s="232"/>
      <c r="G7" s="232"/>
      <c r="H7" s="232"/>
      <c r="I7" s="232"/>
      <c r="J7" s="233"/>
    </row>
    <row r="8" spans="1:45">
      <c r="B8" s="229" t="s">
        <v>116</v>
      </c>
      <c r="C8" s="230"/>
      <c r="D8" s="231" t="str">
        <f>エンティティ一覧!AE2&amp;"_"&amp;D5&amp;"_mt_syusyokugo"</f>
        <v>sny_202310_backup_mt_syusyokugo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milscm_2023_009.sny_202310_backup_mt_syusyokugo;</v>
      </c>
      <c r="O10" s="76"/>
      <c r="P10" s="76"/>
      <c r="Q10" s="76"/>
      <c r="R10" s="76"/>
      <c r="S10" s="76"/>
      <c r="T10" s="76"/>
      <c r="AJ10" s="76" t="str">
        <f>"ALTER TABLE ONLY "&amp;エンティティ一覧!$O$2&amp;"."&amp;D$8</f>
        <v>ALTER TABLE ONLY milscm_2023_009.sny_202310_backup_mt_syusyokugo</v>
      </c>
      <c r="AS10" s="76" t="str">
        <f>"ALTER TABLE "&amp;エンティティ一覧!$O$2&amp;"."&amp;D$8&amp;" OWNER TO pgmisgrp1;"</f>
        <v>ALTER TABLE milscm_2023_009.sny_202310_backup_mt_syusyokugo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milscm_2023_009.sny_202310_backup_mt_syusyokugo</v>
      </c>
      <c r="O11" s="76"/>
      <c r="P11" s="76"/>
      <c r="Q11" s="76"/>
      <c r="R11" s="76"/>
      <c r="S11" s="76"/>
      <c r="T11" s="76"/>
      <c r="AJ11" s="76" t="str">
        <f>"ADD CONSTRAINT "&amp;D$8&amp;"_pkey PRIMARY KEY"</f>
        <v>ADD CONSTRAINT sny_202310_backup_mt_syusyokugo_pkey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milscm_2023_009.sny_202310_backup_mt_syusyokugo IS 'バックアップ_修飾語マスタ取込用';</v>
      </c>
    </row>
    <row r="13" spans="1:45" s="25" customFormat="1" ht="75">
      <c r="A13" s="4"/>
      <c r="B13" s="21">
        <f>ROW()-12</f>
        <v>1</v>
      </c>
      <c r="C13" s="6" t="s">
        <v>1928</v>
      </c>
      <c r="D13" s="6" t="s">
        <v>1929</v>
      </c>
      <c r="E13" s="8" t="s">
        <v>127</v>
      </c>
      <c r="F13" s="8" t="s">
        <v>1739</v>
      </c>
      <c r="G13" s="7" t="str">
        <f>IF(F13="フラグ","boolean",IF(F13="文字列","text",IF(F13="整数","integer",IF(F13="実数","numeric",""))))</f>
        <v>text</v>
      </c>
      <c r="H13" s="9"/>
      <c r="I13" s="10" t="s">
        <v>127</v>
      </c>
      <c r="J13" s="11" t="s">
        <v>1979</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1946</v>
      </c>
      <c r="D14" s="6" t="s">
        <v>1947</v>
      </c>
      <c r="E14" s="8"/>
      <c r="F14" s="7" t="s">
        <v>737</v>
      </c>
      <c r="G14" s="7" t="str">
        <f t="shared" ref="G14:G25" si="3">IF(F14="フラグ","boolean",IF(F14="文字列","text",IF(F14="整数","integer",IF(F14="実数","numeric",""))))</f>
        <v>text</v>
      </c>
      <c r="H14" s="26"/>
      <c r="I14" s="10"/>
      <c r="J14" s="11" t="s">
        <v>1980</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1948</v>
      </c>
      <c r="D15" s="6" t="s">
        <v>1949</v>
      </c>
      <c r="E15" s="8" t="s">
        <v>127</v>
      </c>
      <c r="F15" s="7" t="s">
        <v>737</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1950</v>
      </c>
      <c r="D16" s="6" t="s">
        <v>925</v>
      </c>
      <c r="E16" s="8"/>
      <c r="F16" s="7" t="s">
        <v>737</v>
      </c>
      <c r="G16" s="7" t="str">
        <f t="shared" si="3"/>
        <v>text</v>
      </c>
      <c r="H16" s="26"/>
      <c r="I16" s="10"/>
      <c r="J16" s="11" t="s">
        <v>1981</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milscm_2023_009.sny_202310_backup_mt_syusyokugo.reserve1 IS '予備1';</v>
      </c>
    </row>
    <row r="17" spans="1:45" s="25" customFormat="1">
      <c r="A17" s="4"/>
      <c r="B17" s="21">
        <f t="shared" si="2"/>
        <v>5</v>
      </c>
      <c r="C17" s="6" t="s">
        <v>1951</v>
      </c>
      <c r="D17" s="6" t="s">
        <v>976</v>
      </c>
      <c r="E17" s="8"/>
      <c r="F17" s="7" t="s">
        <v>737</v>
      </c>
      <c r="G17" s="7" t="str">
        <f t="shared" si="3"/>
        <v>text</v>
      </c>
      <c r="H17" s="26"/>
      <c r="I17" s="10"/>
      <c r="J17" s="11" t="s">
        <v>1981</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milscm_2023_009.sny_202310_backup_mt_syusyokugo.reserve2 IS '予備2';</v>
      </c>
    </row>
    <row r="18" spans="1:45" s="25" customFormat="1">
      <c r="A18" s="4"/>
      <c r="B18" s="21">
        <f t="shared" si="2"/>
        <v>6</v>
      </c>
      <c r="C18" s="6" t="s">
        <v>1952</v>
      </c>
      <c r="D18" s="6" t="s">
        <v>1953</v>
      </c>
      <c r="E18" s="8"/>
      <c r="F18" s="7" t="s">
        <v>1954</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1955</v>
      </c>
      <c r="D19" s="6" t="s">
        <v>1956</v>
      </c>
      <c r="E19" s="8"/>
      <c r="F19" s="7" t="s">
        <v>737</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1957</v>
      </c>
      <c r="D20" s="6" t="s">
        <v>978</v>
      </c>
      <c r="E20" s="8"/>
      <c r="F20" s="7" t="s">
        <v>737</v>
      </c>
      <c r="G20" s="7" t="str">
        <f t="shared" si="3"/>
        <v>text</v>
      </c>
      <c r="H20" s="26"/>
      <c r="I20" s="10"/>
      <c r="J20" s="11" t="s">
        <v>1981</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milscm_2023_009.sny_202310_backup_mt_syusyokugo.reserve3 IS '予備3';</v>
      </c>
    </row>
    <row r="21" spans="1:45" s="25" customFormat="1" ht="31.5">
      <c r="A21" s="4"/>
      <c r="B21" s="21">
        <f t="shared" si="2"/>
        <v>9</v>
      </c>
      <c r="C21" s="6" t="s">
        <v>1958</v>
      </c>
      <c r="D21" s="6" t="s">
        <v>1959</v>
      </c>
      <c r="E21" s="8"/>
      <c r="F21" s="7" t="s">
        <v>1954</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1960</v>
      </c>
      <c r="D22" s="6" t="s">
        <v>1961</v>
      </c>
      <c r="E22" s="8"/>
      <c r="F22" s="7" t="s">
        <v>737</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1962</v>
      </c>
      <c r="D23" s="6" t="s">
        <v>1185</v>
      </c>
      <c r="E23" s="8"/>
      <c r="F23" s="7" t="s">
        <v>737</v>
      </c>
      <c r="G23" s="7" t="str">
        <f t="shared" si="3"/>
        <v>text</v>
      </c>
      <c r="H23" s="26"/>
      <c r="I23" s="10"/>
      <c r="J23" s="11" t="s">
        <v>1981</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milscm_2023_009.sny_202310_backup_mt_syusyokugo.reserve4 IS '予備4';</v>
      </c>
    </row>
    <row r="24" spans="1:45" s="25" customFormat="1">
      <c r="A24" s="4"/>
      <c r="B24" s="21">
        <f t="shared" si="2"/>
        <v>12</v>
      </c>
      <c r="C24" s="6" t="s">
        <v>1963</v>
      </c>
      <c r="D24" s="6" t="s">
        <v>1964</v>
      </c>
      <c r="E24" s="8"/>
      <c r="F24" s="7" t="s">
        <v>737</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milscm_2023_009.sny_202310_backup_mt_syusyokugo.syusyokugo_name_henkou IS '修飾語名称（変更情報）';</v>
      </c>
    </row>
    <row r="25" spans="1:45" s="25" customFormat="1" ht="31.5">
      <c r="A25" s="4"/>
      <c r="B25" s="21">
        <f t="shared" si="2"/>
        <v>13</v>
      </c>
      <c r="C25" s="6" t="s">
        <v>1965</v>
      </c>
      <c r="D25" s="6" t="s">
        <v>1966</v>
      </c>
      <c r="E25" s="8"/>
      <c r="F25" s="7" t="s">
        <v>737</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1967</v>
      </c>
      <c r="D26" s="6" t="s">
        <v>1968</v>
      </c>
      <c r="E26" s="8"/>
      <c r="F26" s="7" t="s">
        <v>737</v>
      </c>
      <c r="G26" s="7" t="str">
        <f t="shared" ref="G26:G32" si="10">IF(F26="フラグ","boolean",IF(F26="文字列","text",IF(F26="整数","integer",IF(F26="実数","numeric",""))))</f>
        <v>text</v>
      </c>
      <c r="H26" s="26"/>
      <c r="I26" s="10"/>
      <c r="J26" s="11" t="s">
        <v>1796</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1969</v>
      </c>
      <c r="D27" s="6" t="s">
        <v>1970</v>
      </c>
      <c r="E27" s="8"/>
      <c r="F27" s="7" t="s">
        <v>737</v>
      </c>
      <c r="G27" s="7" t="str">
        <f t="shared" si="10"/>
        <v>text</v>
      </c>
      <c r="H27" s="26"/>
      <c r="I27" s="10"/>
      <c r="J27" s="11" t="s">
        <v>1796</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1909</v>
      </c>
      <c r="D28" s="6" t="s">
        <v>1971</v>
      </c>
      <c r="E28" s="8"/>
      <c r="F28" s="7" t="s">
        <v>737</v>
      </c>
      <c r="G28" s="7" t="str">
        <f t="shared" si="10"/>
        <v>text</v>
      </c>
      <c r="H28" s="26"/>
      <c r="I28" s="10"/>
      <c r="J28" s="11" t="s">
        <v>1796</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1972</v>
      </c>
      <c r="D29" s="6" t="s">
        <v>1973</v>
      </c>
      <c r="E29" s="8"/>
      <c r="F29" s="7" t="s">
        <v>1954</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1974</v>
      </c>
      <c r="D30" s="6" t="s">
        <v>1975</v>
      </c>
      <c r="E30" s="8"/>
      <c r="F30" s="7" t="s">
        <v>737</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1976</v>
      </c>
      <c r="D31" s="6" t="s">
        <v>1977</v>
      </c>
      <c r="E31" s="8"/>
      <c r="F31" s="7" t="s">
        <v>737</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milscm_2023_009.sny_202310_backup_mt_syusyokugo.syusyokugo_kubun IS '修飾語区分';</v>
      </c>
    </row>
    <row r="32" spans="1:45" s="25" customFormat="1" ht="19.5" thickBot="1">
      <c r="A32" s="4"/>
      <c r="B32" s="27">
        <f>ROW()-12</f>
        <v>20</v>
      </c>
      <c r="C32" s="57" t="s">
        <v>1978</v>
      </c>
      <c r="D32" s="57" t="s">
        <v>1883</v>
      </c>
      <c r="E32" s="56" t="s">
        <v>127</v>
      </c>
      <c r="F32" s="56" t="s">
        <v>737</v>
      </c>
      <c r="G32" s="56" t="str">
        <f t="shared" si="10"/>
        <v>text</v>
      </c>
      <c r="H32" s="59"/>
      <c r="I32" s="60" t="s">
        <v>127</v>
      </c>
      <c r="J32" s="64" t="s">
        <v>1796</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milscm_2023_009.sny_202310_backup_mt_syusyokugo.update_ymd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ENT_01_A3-07</v>
      </c>
      <c r="E6" s="240"/>
      <c r="F6" s="240"/>
      <c r="G6" s="240"/>
      <c r="H6" s="240"/>
      <c r="I6" s="240"/>
      <c r="J6" s="241"/>
    </row>
    <row r="7" spans="1:45">
      <c r="B7" s="229" t="s">
        <v>115</v>
      </c>
      <c r="C7" s="230"/>
      <c r="D7" s="231" t="s">
        <v>1982</v>
      </c>
      <c r="E7" s="232"/>
      <c r="F7" s="232"/>
      <c r="G7" s="232"/>
      <c r="H7" s="232"/>
      <c r="I7" s="232"/>
      <c r="J7" s="233"/>
    </row>
    <row r="8" spans="1:45">
      <c r="B8" s="229" t="s">
        <v>116</v>
      </c>
      <c r="C8" s="230"/>
      <c r="D8" s="231" t="str">
        <f>エンティティ一覧!AE2&amp;"_"&amp;D5&amp;"_mt_comment"</f>
        <v>sny_202310_backup_mt_comment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milscm_2023_009.sny_202310_backup_mt_comment;</v>
      </c>
      <c r="O10" s="76"/>
      <c r="P10" s="76"/>
      <c r="Q10" s="76"/>
      <c r="R10" s="76"/>
      <c r="S10" s="76"/>
      <c r="T10" s="76"/>
      <c r="AJ10" s="76" t="str">
        <f>"ALTER TABLE ONLY "&amp;エンティティ一覧!$O$2&amp;"."&amp;D$8</f>
        <v>ALTER TABLE ONLY milscm_2023_009.sny_202310_backup_mt_comment</v>
      </c>
      <c r="AS10" s="76" t="str">
        <f>"ALTER TABLE "&amp;エンティティ一覧!$O$2&amp;"."&amp;D$8&amp;" OWNER TO pgmisgrp1;"</f>
        <v>ALTER TABLE milscm_2023_009.sny_202310_backup_mt_comment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milscm_2023_009.sny_202310_backup_mt_comment</v>
      </c>
      <c r="O11" s="76"/>
      <c r="P11" s="76"/>
      <c r="Q11" s="76"/>
      <c r="R11" s="76"/>
      <c r="S11" s="76"/>
      <c r="T11" s="76"/>
      <c r="AJ11" s="76" t="str">
        <f>"ADD CONSTRAINT "&amp;D$8&amp;"_pkey PRIMARY KEY"</f>
        <v>ADD CONSTRAINT sny_202310_backup_mt_comment_pkey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milscm_2023_009.sny_202310_backup_mt_comment IS 'バックアップ_コメントマスタ取込用';</v>
      </c>
    </row>
    <row r="13" spans="1:45" s="25" customFormat="1" ht="75">
      <c r="A13" s="4"/>
      <c r="B13" s="21">
        <f>ROW()-12</f>
        <v>1</v>
      </c>
      <c r="C13" s="6" t="s">
        <v>1928</v>
      </c>
      <c r="D13" s="6" t="s">
        <v>1929</v>
      </c>
      <c r="E13" s="8" t="s">
        <v>127</v>
      </c>
      <c r="F13" s="8" t="s">
        <v>1739</v>
      </c>
      <c r="G13" s="7" t="str">
        <f>IF(F13="フラグ","boolean",IF(F13="文字列","text",IF(F13="整数","integer",IF(F13="実数","numeric",""))))</f>
        <v>text</v>
      </c>
      <c r="H13" s="9"/>
      <c r="I13" s="10" t="s">
        <v>127</v>
      </c>
      <c r="J13" s="11" t="s">
        <v>1979</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1946</v>
      </c>
      <c r="D14" s="6" t="s">
        <v>1947</v>
      </c>
      <c r="E14" s="8"/>
      <c r="F14" s="7" t="s">
        <v>737</v>
      </c>
      <c r="G14" s="7" t="str">
        <f t="shared" ref="G14:G23" si="3">IF(F14="フラグ","boolean",IF(F14="文字列","text",IF(F14="整数","integer",IF(F14="実数","numeric",""))))</f>
        <v>text</v>
      </c>
      <c r="H14" s="26"/>
      <c r="I14" s="10" t="s">
        <v>127</v>
      </c>
      <c r="J14" s="11" t="s">
        <v>2026</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1983</v>
      </c>
      <c r="D15" s="6" t="s">
        <v>1984</v>
      </c>
      <c r="E15" s="8" t="s">
        <v>127</v>
      </c>
      <c r="F15" s="7" t="s">
        <v>737</v>
      </c>
      <c r="G15" s="7" t="str">
        <f t="shared" si="3"/>
        <v>text</v>
      </c>
      <c r="H15" s="26"/>
      <c r="I15" s="10" t="s">
        <v>127</v>
      </c>
      <c r="J15" s="11" t="s">
        <v>2027</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1985</v>
      </c>
      <c r="D16" s="6" t="s">
        <v>1986</v>
      </c>
      <c r="E16" s="8" t="s">
        <v>127</v>
      </c>
      <c r="F16" s="7" t="s">
        <v>737</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1987</v>
      </c>
      <c r="D17" s="6" t="s">
        <v>1988</v>
      </c>
      <c r="E17" s="8" t="s">
        <v>127</v>
      </c>
      <c r="F17" s="7" t="s">
        <v>1989</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milscm_2023_009.sny_202310_backup_mt_comment.comment_cd_seq IS 'コメントコード一連番号';</v>
      </c>
    </row>
    <row r="18" spans="1:45" s="25" customFormat="1" ht="31.5">
      <c r="A18" s="4"/>
      <c r="B18" s="21">
        <f t="shared" si="2"/>
        <v>6</v>
      </c>
      <c r="C18" s="6" t="s">
        <v>1990</v>
      </c>
      <c r="D18" s="6" t="s">
        <v>1991</v>
      </c>
      <c r="E18" s="8"/>
      <c r="F18" s="7" t="s">
        <v>1992</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milscm_2023_009.sny_202310_backup_mt_comment.comment_sentence_kanji_ketasu IS 'コメント文漢字有効桁数';</v>
      </c>
    </row>
    <row r="19" spans="1:45" s="25" customFormat="1" ht="31.5">
      <c r="A19" s="4"/>
      <c r="B19" s="21">
        <f t="shared" si="2"/>
        <v>7</v>
      </c>
      <c r="C19" s="6" t="s">
        <v>1993</v>
      </c>
      <c r="D19" s="6" t="s">
        <v>1994</v>
      </c>
      <c r="E19" s="8"/>
      <c r="F19" s="7" t="s">
        <v>1989</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milscm_2023_009.sny_202310_backup_mt_comment.comment_sentence_kanji_name IS 'コメント文漢字名称';</v>
      </c>
    </row>
    <row r="20" spans="1:45" s="25" customFormat="1" ht="31.5">
      <c r="A20" s="4"/>
      <c r="B20" s="21">
        <f t="shared" si="2"/>
        <v>8</v>
      </c>
      <c r="C20" s="6" t="s">
        <v>1995</v>
      </c>
      <c r="D20" s="6" t="s">
        <v>1996</v>
      </c>
      <c r="E20" s="8"/>
      <c r="F20" s="7" t="s">
        <v>1992</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milscm_2023_009.sny_202310_backup_mt_comment.comment_sentence_kana_ketasu IS 'コメント文カナ有効桁数';</v>
      </c>
    </row>
    <row r="21" spans="1:45" s="25" customFormat="1" ht="31.5">
      <c r="A21" s="4"/>
      <c r="B21" s="21">
        <f t="shared" si="2"/>
        <v>9</v>
      </c>
      <c r="C21" s="6" t="s">
        <v>1997</v>
      </c>
      <c r="D21" s="6" t="s">
        <v>1998</v>
      </c>
      <c r="E21" s="8"/>
      <c r="F21" s="7" t="s">
        <v>737</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milscm_2023_009.sny_202310_backup_mt_comment.comment_sentence_kana_name IS 'コメント文カナ名称';</v>
      </c>
    </row>
    <row r="22" spans="1:45" s="25" customFormat="1" ht="31.5">
      <c r="A22" s="4"/>
      <c r="B22" s="21">
        <f t="shared" si="2"/>
        <v>10</v>
      </c>
      <c r="C22" s="6" t="s">
        <v>1999</v>
      </c>
      <c r="D22" s="6" t="s">
        <v>2000</v>
      </c>
      <c r="E22" s="8"/>
      <c r="F22" s="7" t="s">
        <v>1992</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milscm_2023_009.sny_202310_backup_mt_comment.recept_hensyu_info1_column_position IS 'レセプト編集情報1カラム位置';</v>
      </c>
    </row>
    <row r="23" spans="1:45" s="25" customFormat="1" ht="31.5">
      <c r="A23" s="4"/>
      <c r="B23" s="21">
        <f t="shared" si="2"/>
        <v>11</v>
      </c>
      <c r="C23" s="6" t="s">
        <v>2001</v>
      </c>
      <c r="D23" s="6" t="s">
        <v>2002</v>
      </c>
      <c r="E23" s="8"/>
      <c r="F23" s="7" t="s">
        <v>1992</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milscm_2023_009.sny_202310_backup_mt_comment.recept_hensyu_info1_ketasu IS 'レセプト編集情報1桁数';</v>
      </c>
    </row>
    <row r="24" spans="1:45" s="25" customFormat="1" ht="31.5">
      <c r="A24" s="4"/>
      <c r="B24" s="21">
        <f t="shared" ref="B24:B42" si="9">ROW()-12</f>
        <v>12</v>
      </c>
      <c r="C24" s="6" t="s">
        <v>2003</v>
      </c>
      <c r="D24" s="6" t="s">
        <v>2004</v>
      </c>
      <c r="E24" s="8"/>
      <c r="F24" s="7" t="s">
        <v>1992</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milscm_2023_009.sny_202310_backup_mt_comment.recept_hensyu_info2_column_position IS 'レセプト編集情報2カラム位置';</v>
      </c>
    </row>
    <row r="25" spans="1:45" s="25" customFormat="1" ht="31.5">
      <c r="A25" s="4"/>
      <c r="B25" s="21">
        <f t="shared" si="9"/>
        <v>13</v>
      </c>
      <c r="C25" s="6" t="s">
        <v>2005</v>
      </c>
      <c r="D25" s="6" t="s">
        <v>2006</v>
      </c>
      <c r="E25" s="8"/>
      <c r="F25" s="7" t="s">
        <v>1992</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milscm_2023_009.sny_202310_backup_mt_comment.recept_hensyu_info2_ketasu IS 'レセプト編集情報2桁数';</v>
      </c>
    </row>
    <row r="26" spans="1:45" s="25" customFormat="1" ht="31.5">
      <c r="A26" s="4"/>
      <c r="B26" s="21">
        <f t="shared" si="9"/>
        <v>14</v>
      </c>
      <c r="C26" s="6" t="s">
        <v>2007</v>
      </c>
      <c r="D26" s="6" t="s">
        <v>2008</v>
      </c>
      <c r="E26" s="8"/>
      <c r="F26" s="7" t="s">
        <v>1992</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milscm_2023_009.sny_202310_backup_mt_comment.recept_hensyu_info3_column_position IS 'レセプト編集情報3カラム位置';</v>
      </c>
    </row>
    <row r="27" spans="1:45" s="25" customFormat="1" ht="31.5">
      <c r="A27" s="4"/>
      <c r="B27" s="21">
        <f t="shared" si="9"/>
        <v>15</v>
      </c>
      <c r="C27" s="6" t="s">
        <v>2009</v>
      </c>
      <c r="D27" s="6" t="s">
        <v>2010</v>
      </c>
      <c r="E27" s="8"/>
      <c r="F27" s="7" t="s">
        <v>1992</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milscm_2023_009.sny_202310_backup_mt_comment.recept_hensyu_info3_ketasu IS 'レセプト編集情報3桁数';</v>
      </c>
    </row>
    <row r="28" spans="1:45" s="25" customFormat="1" ht="31.5">
      <c r="A28" s="4"/>
      <c r="B28" s="21">
        <f t="shared" si="9"/>
        <v>16</v>
      </c>
      <c r="C28" s="6" t="s">
        <v>2011</v>
      </c>
      <c r="D28" s="6" t="s">
        <v>2012</v>
      </c>
      <c r="E28" s="8"/>
      <c r="F28" s="7" t="s">
        <v>1992</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milscm_2023_009.sny_202310_backup_mt_comment.recept_hensyu_info4_column_position IS 'レセプト編集情報4カラム位置';</v>
      </c>
    </row>
    <row r="29" spans="1:45" s="25" customFormat="1" ht="31.5">
      <c r="A29" s="4"/>
      <c r="B29" s="21">
        <f t="shared" si="9"/>
        <v>17</v>
      </c>
      <c r="C29" s="6" t="s">
        <v>2013</v>
      </c>
      <c r="D29" s="6" t="s">
        <v>2014</v>
      </c>
      <c r="E29" s="8"/>
      <c r="F29" s="7" t="s">
        <v>1992</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1950</v>
      </c>
      <c r="D30" s="6" t="s">
        <v>925</v>
      </c>
      <c r="E30" s="8"/>
      <c r="F30" s="7" t="s">
        <v>737</v>
      </c>
      <c r="G30" s="7" t="str">
        <f t="shared" si="10"/>
        <v>text</v>
      </c>
      <c r="H30" s="26"/>
      <c r="I30" s="10"/>
      <c r="J30" s="11" t="s">
        <v>1981</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milscm_2023_009.sny_202310_backup_mt_comment.reserve1 IS '予備1';</v>
      </c>
    </row>
    <row r="31" spans="1:45" s="25" customFormat="1">
      <c r="A31" s="4"/>
      <c r="B31" s="21">
        <f t="shared" si="9"/>
        <v>19</v>
      </c>
      <c r="C31" s="6" t="s">
        <v>1951</v>
      </c>
      <c r="D31" s="6" t="s">
        <v>976</v>
      </c>
      <c r="E31" s="8"/>
      <c r="F31" s="7" t="s">
        <v>1989</v>
      </c>
      <c r="G31" s="7" t="str">
        <f t="shared" si="10"/>
        <v>text</v>
      </c>
      <c r="H31" s="26"/>
      <c r="I31" s="10"/>
      <c r="J31" s="11" t="s">
        <v>1981</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milscm_2023_009.sny_202310_backup_mt_comment.reserve2 IS '予備2';</v>
      </c>
    </row>
    <row r="32" spans="1:45" s="25" customFormat="1" ht="31.5">
      <c r="A32" s="4"/>
      <c r="B32" s="21">
        <f t="shared" si="9"/>
        <v>20</v>
      </c>
      <c r="C32" s="6" t="s">
        <v>2015</v>
      </c>
      <c r="D32" s="6" t="s">
        <v>2016</v>
      </c>
      <c r="E32" s="8"/>
      <c r="F32" s="7" t="s">
        <v>1992</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1969</v>
      </c>
      <c r="D33" s="6" t="s">
        <v>1970</v>
      </c>
      <c r="E33" s="8"/>
      <c r="F33" s="7" t="s">
        <v>737</v>
      </c>
      <c r="G33" s="7" t="str">
        <f t="shared" si="10"/>
        <v>text</v>
      </c>
      <c r="H33" s="26"/>
      <c r="I33" s="10"/>
      <c r="J33" s="11" t="s">
        <v>1796</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1909</v>
      </c>
      <c r="D34" s="6" t="s">
        <v>1971</v>
      </c>
      <c r="E34" s="8"/>
      <c r="F34" s="7" t="s">
        <v>737</v>
      </c>
      <c r="G34" s="7" t="str">
        <f t="shared" si="10"/>
        <v>text</v>
      </c>
      <c r="H34" s="26"/>
      <c r="I34" s="10"/>
      <c r="J34" s="11" t="s">
        <v>1796</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milscm_2023_009.sny_202310_backup_mt_comment.haishi_ymd IS '廃止年月日';</v>
      </c>
    </row>
    <row r="35" spans="1:52" s="25" customFormat="1" ht="56.25">
      <c r="A35" s="4"/>
      <c r="B35" s="21">
        <f t="shared" si="9"/>
        <v>23</v>
      </c>
      <c r="C35" s="6" t="s">
        <v>2017</v>
      </c>
      <c r="D35" s="6" t="s">
        <v>2018</v>
      </c>
      <c r="E35" s="8"/>
      <c r="F35" s="7" t="s">
        <v>1989</v>
      </c>
      <c r="G35" s="7" t="str">
        <f t="shared" si="10"/>
        <v>text</v>
      </c>
      <c r="H35" s="26"/>
      <c r="I35" s="10"/>
      <c r="J35" s="11" t="s">
        <v>2028</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2019</v>
      </c>
      <c r="D36" s="6" t="s">
        <v>2020</v>
      </c>
      <c r="E36" s="8"/>
      <c r="F36" s="7" t="s">
        <v>1989</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1957</v>
      </c>
      <c r="D37" s="6" t="s">
        <v>978</v>
      </c>
      <c r="E37" s="8"/>
      <c r="F37" s="7" t="s">
        <v>1989</v>
      </c>
      <c r="G37" s="7" t="str">
        <f t="shared" si="10"/>
        <v>text</v>
      </c>
      <c r="H37" s="26"/>
      <c r="I37" s="10"/>
      <c r="J37" s="11" t="s">
        <v>1981</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milscm_2023_009.sny_202310_backup_mt_comment.reserve3 IS '予備3';</v>
      </c>
    </row>
    <row r="38" spans="1:52" s="25" customFormat="1">
      <c r="A38" s="4"/>
      <c r="B38" s="21">
        <f t="shared" si="9"/>
        <v>26</v>
      </c>
      <c r="C38" s="6" t="s">
        <v>1962</v>
      </c>
      <c r="D38" s="6" t="s">
        <v>1185</v>
      </c>
      <c r="E38" s="8"/>
      <c r="F38" s="7" t="s">
        <v>737</v>
      </c>
      <c r="G38" s="7" t="str">
        <f t="shared" si="10"/>
        <v>text</v>
      </c>
      <c r="H38" s="26"/>
      <c r="I38" s="10"/>
      <c r="J38" s="11" t="s">
        <v>1981</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milscm_2023_009.sny_202310_backup_mt_comment.reserve4 IS '予備4';</v>
      </c>
    </row>
    <row r="39" spans="1:52" s="25" customFormat="1">
      <c r="A39" s="4"/>
      <c r="B39" s="21">
        <f t="shared" si="9"/>
        <v>27</v>
      </c>
      <c r="C39" s="6" t="s">
        <v>2021</v>
      </c>
      <c r="D39" s="6" t="s">
        <v>1190</v>
      </c>
      <c r="E39" s="8"/>
      <c r="F39" s="7" t="s">
        <v>737</v>
      </c>
      <c r="G39" s="7" t="str">
        <f t="shared" si="10"/>
        <v>text</v>
      </c>
      <c r="H39" s="26"/>
      <c r="I39" s="10"/>
      <c r="J39" s="11" t="s">
        <v>1981</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milscm_2023_009.sny_202310_backup_mt_comment.reserve5 IS '予備5';</v>
      </c>
    </row>
    <row r="40" spans="1:52" s="25" customFormat="1">
      <c r="A40" s="4"/>
      <c r="B40" s="21">
        <f t="shared" si="9"/>
        <v>28</v>
      </c>
      <c r="C40" s="6" t="s">
        <v>2022</v>
      </c>
      <c r="D40" s="6" t="s">
        <v>1192</v>
      </c>
      <c r="E40" s="8"/>
      <c r="F40" s="7" t="s">
        <v>737</v>
      </c>
      <c r="G40" s="7" t="str">
        <f t="shared" si="10"/>
        <v>text</v>
      </c>
      <c r="H40" s="26"/>
      <c r="I40" s="10"/>
      <c r="J40" s="11" t="s">
        <v>1981</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milscm_2023_009.sny_202310_backup_mt_comment.reserve6 IS '予備6';</v>
      </c>
    </row>
    <row r="41" spans="1:52" s="25" customFormat="1">
      <c r="A41" s="4"/>
      <c r="B41" s="21">
        <f t="shared" si="9"/>
        <v>29</v>
      </c>
      <c r="C41" s="6" t="s">
        <v>2023</v>
      </c>
      <c r="D41" s="6" t="s">
        <v>1194</v>
      </c>
      <c r="E41" s="8"/>
      <c r="F41" s="7" t="s">
        <v>1989</v>
      </c>
      <c r="G41" s="7" t="str">
        <f t="shared" ref="G41" si="14">IF(F41="フラグ","boolean",IF(F41="文字列","text",IF(F41="整数","integer",IF(F41="実数","numeric",""))))</f>
        <v>text</v>
      </c>
      <c r="H41" s="26"/>
      <c r="I41" s="10"/>
      <c r="J41" s="11" t="s">
        <v>1981</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milscm_2023_009.sny_202310_backup_mt_comment.reserve7 IS '予備7';</v>
      </c>
    </row>
    <row r="42" spans="1:52" s="25" customFormat="1">
      <c r="A42" s="4"/>
      <c r="B42" s="21">
        <f t="shared" si="9"/>
        <v>30</v>
      </c>
      <c r="C42" s="6" t="s">
        <v>2024</v>
      </c>
      <c r="D42" s="6" t="s">
        <v>2025</v>
      </c>
      <c r="E42" s="8"/>
      <c r="F42" s="7" t="s">
        <v>737</v>
      </c>
      <c r="G42" s="7" t="str">
        <f t="shared" si="10"/>
        <v>text</v>
      </c>
      <c r="H42" s="26"/>
      <c r="I42" s="10"/>
      <c r="J42" s="11" t="s">
        <v>1981</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milscm_2023_009.sny_202310_backup_mt_comment.reserve8 IS '予備8';</v>
      </c>
    </row>
    <row r="43" spans="1:52" s="25" customFormat="1" ht="19.5" thickBot="1">
      <c r="A43" s="4"/>
      <c r="B43" s="27">
        <f>ROW()-12</f>
        <v>31</v>
      </c>
      <c r="C43" s="57" t="s">
        <v>1978</v>
      </c>
      <c r="D43" s="57" t="s">
        <v>1883</v>
      </c>
      <c r="E43" s="56" t="s">
        <v>127</v>
      </c>
      <c r="F43" s="56" t="s">
        <v>737</v>
      </c>
      <c r="G43" s="56" t="str">
        <f t="shared" si="10"/>
        <v>text</v>
      </c>
      <c r="H43" s="59"/>
      <c r="I43" s="60" t="s">
        <v>127</v>
      </c>
      <c r="J43" s="64" t="s">
        <v>1796</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milscm_2023_009.sny_202310_backup_mt_comment.update_ymd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ENT_01_A3-08</v>
      </c>
      <c r="E6" s="240"/>
      <c r="F6" s="240"/>
      <c r="G6" s="240"/>
      <c r="H6" s="240"/>
      <c r="I6" s="240"/>
      <c r="J6" s="241"/>
    </row>
    <row r="7" spans="1:45">
      <c r="B7" s="229" t="s">
        <v>115</v>
      </c>
      <c r="C7" s="230"/>
      <c r="D7" s="231" t="s">
        <v>2029</v>
      </c>
      <c r="E7" s="232"/>
      <c r="F7" s="232"/>
      <c r="G7" s="232"/>
      <c r="H7" s="232"/>
      <c r="I7" s="232"/>
      <c r="J7" s="233"/>
    </row>
    <row r="8" spans="1:45">
      <c r="B8" s="229" t="s">
        <v>116</v>
      </c>
      <c r="C8" s="230"/>
      <c r="D8" s="231" t="str">
        <f>エンティティ一覧!AE2&amp;"_"&amp;D5&amp;"_mt_seibunryo"</f>
        <v>sny_202310_backup_mt_seibunryo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milscm_2023_009.sny_202310_backup_mt_seibunryo;</v>
      </c>
      <c r="O10" s="76"/>
      <c r="P10" s="76"/>
      <c r="Q10" s="76"/>
      <c r="R10" s="76"/>
      <c r="S10" s="76"/>
      <c r="T10" s="76"/>
      <c r="AJ10" s="76" t="str">
        <f>"ALTER TABLE ONLY "&amp;エンティティ一覧!$O$2&amp;"."&amp;D$8</f>
        <v>ALTER TABLE ONLY milscm_2023_009.sny_202310_backup_mt_seibunryo</v>
      </c>
      <c r="AS10" s="76" t="str">
        <f>"ALTER TABLE "&amp;エンティティ一覧!$O$2&amp;"."&amp;D$8&amp;" OWNER TO pgmisgrp1;"</f>
        <v>ALTER TABLE milscm_2023_009.sny_202310_backup_mt_seibunryo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milscm_2023_009.sny_202310_backup_mt_seibunryo</v>
      </c>
      <c r="O11" s="76"/>
      <c r="P11" s="76"/>
      <c r="Q11" s="76"/>
      <c r="R11" s="76"/>
      <c r="S11" s="76"/>
      <c r="T11" s="76"/>
      <c r="AJ11" s="76" t="str">
        <f>"ADD CONSTRAINT "&amp;D$8&amp;"_pkey PRIMARY KEY"</f>
        <v>ADD CONSTRAINT sny_202310_backup_mt_seibunryo_pkey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2030</v>
      </c>
      <c r="D13" s="6" t="s">
        <v>2031</v>
      </c>
      <c r="E13" s="8" t="s">
        <v>127</v>
      </c>
      <c r="F13" s="8" t="s">
        <v>1739</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milscm_2023_009.sny_202310_backup_mt_seibunryo.yj_code IS 'ＹＪコード';</v>
      </c>
    </row>
    <row r="14" spans="1:45" s="25" customFormat="1" ht="37.5">
      <c r="A14" s="4"/>
      <c r="B14" s="21">
        <f t="shared" ref="B14:B22" si="2">ROW()-12</f>
        <v>2</v>
      </c>
      <c r="C14" s="6" t="s">
        <v>2032</v>
      </c>
      <c r="D14" s="6" t="s">
        <v>2033</v>
      </c>
      <c r="E14" s="8"/>
      <c r="F14" s="7" t="s">
        <v>1739</v>
      </c>
      <c r="G14" s="7" t="str">
        <f t="shared" ref="G14:G23" si="3">IF(F14="フラグ","boolean",IF(F14="文字列","text",IF(F14="整数","integer",IF(F14="実数","numeric",""))))</f>
        <v>text</v>
      </c>
      <c r="H14" s="26"/>
      <c r="I14" s="10" t="s">
        <v>127</v>
      </c>
      <c r="J14" s="11" t="s">
        <v>2051</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2034</v>
      </c>
      <c r="D15" s="6" t="s">
        <v>2035</v>
      </c>
      <c r="E15" s="8"/>
      <c r="F15" s="7" t="s">
        <v>1739</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2036</v>
      </c>
      <c r="D16" s="6" t="s">
        <v>2037</v>
      </c>
      <c r="E16" s="8" t="s">
        <v>127</v>
      </c>
      <c r="F16" s="7" t="s">
        <v>1739</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2038</v>
      </c>
      <c r="D17" s="6" t="s">
        <v>2039</v>
      </c>
      <c r="E17" s="8"/>
      <c r="F17" s="7" t="s">
        <v>1746</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milscm_2023_009.sny_202310_backup_mt_seibunryo.seibunryo IS '成分量';</v>
      </c>
    </row>
    <row r="18" spans="1:52" s="25" customFormat="1">
      <c r="A18" s="4"/>
      <c r="B18" s="21">
        <f t="shared" si="2"/>
        <v>6</v>
      </c>
      <c r="C18" s="6" t="s">
        <v>2040</v>
      </c>
      <c r="D18" s="6" t="s">
        <v>2041</v>
      </c>
      <c r="E18" s="8"/>
      <c r="F18" s="7" t="s">
        <v>1739</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2042</v>
      </c>
      <c r="D19" s="6" t="s">
        <v>2043</v>
      </c>
      <c r="E19" s="8"/>
      <c r="F19" s="7" t="s">
        <v>1746</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milscm_2023_009.sny_202310_backup_mt_seibunryo.kokuji_kikakuryo IS '告示規格量';</v>
      </c>
    </row>
    <row r="20" spans="1:52" s="25" customFormat="1" ht="31.9" customHeight="1">
      <c r="A20" s="4"/>
      <c r="B20" s="21">
        <f t="shared" si="2"/>
        <v>8</v>
      </c>
      <c r="C20" s="6" t="s">
        <v>2044</v>
      </c>
      <c r="D20" s="6" t="s">
        <v>2045</v>
      </c>
      <c r="E20" s="8"/>
      <c r="F20" s="7" t="s">
        <v>1739</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2046</v>
      </c>
      <c r="D21" s="6" t="s">
        <v>2047</v>
      </c>
      <c r="E21" s="8"/>
      <c r="F21" s="7" t="s">
        <v>1739</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milscm_2023_009.sny_202310_backup_mt_seibunryo.bikou IS '備考';</v>
      </c>
    </row>
    <row r="22" spans="1:52" s="25" customFormat="1" ht="56.25">
      <c r="A22" s="4"/>
      <c r="B22" s="21">
        <f t="shared" si="2"/>
        <v>10</v>
      </c>
      <c r="C22" s="6" t="s">
        <v>2048</v>
      </c>
      <c r="D22" s="6" t="s">
        <v>2049</v>
      </c>
      <c r="E22" s="8" t="s">
        <v>127</v>
      </c>
      <c r="F22" s="7" t="s">
        <v>1739</v>
      </c>
      <c r="G22" s="7" t="str">
        <f t="shared" si="3"/>
        <v>text</v>
      </c>
      <c r="H22" s="26"/>
      <c r="I22" s="10" t="s">
        <v>127</v>
      </c>
      <c r="J22" s="11" t="s">
        <v>2052</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milscm_2023_009.sny_202310_backup_mt_seibunryo.koshin_kubun IS '更新区分';</v>
      </c>
    </row>
    <row r="23" spans="1:52" s="25" customFormat="1" ht="19.5" thickBot="1">
      <c r="A23" s="4"/>
      <c r="B23" s="27">
        <f>ROW()-12</f>
        <v>11</v>
      </c>
      <c r="C23" s="57" t="s">
        <v>2050</v>
      </c>
      <c r="D23" s="57" t="s">
        <v>1883</v>
      </c>
      <c r="E23" s="56" t="s">
        <v>127</v>
      </c>
      <c r="F23" s="56" t="s">
        <v>1739</v>
      </c>
      <c r="G23" s="56" t="str">
        <f t="shared" si="3"/>
        <v>text</v>
      </c>
      <c r="H23" s="59"/>
      <c r="I23" s="60" t="s">
        <v>127</v>
      </c>
      <c r="J23" s="64" t="s">
        <v>2053</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ENT_01_A3-09</v>
      </c>
      <c r="E6" s="240"/>
      <c r="F6" s="240"/>
      <c r="G6" s="240"/>
      <c r="H6" s="240"/>
      <c r="I6" s="240"/>
      <c r="J6" s="241"/>
    </row>
    <row r="7" spans="1:45">
      <c r="B7" s="229" t="s">
        <v>115</v>
      </c>
      <c r="C7" s="230"/>
      <c r="D7" s="231" t="s">
        <v>2054</v>
      </c>
      <c r="E7" s="232"/>
      <c r="F7" s="232"/>
      <c r="G7" s="232"/>
      <c r="H7" s="232"/>
      <c r="I7" s="232"/>
      <c r="J7" s="233"/>
    </row>
    <row r="8" spans="1:45">
      <c r="B8" s="229" t="s">
        <v>116</v>
      </c>
      <c r="C8" s="230"/>
      <c r="D8" s="231" t="str">
        <f>エンティティ一覧!AE2&amp;"_"&amp;D5&amp;"_mt_seibun_name"</f>
        <v>sny_202310_backup_mt_seibun_name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milscm_2023_009.sny_202310_backup_mt_seibun_name;</v>
      </c>
      <c r="O10" s="76"/>
      <c r="P10" s="76"/>
      <c r="Q10" s="76"/>
      <c r="R10" s="76"/>
      <c r="S10" s="76"/>
      <c r="T10" s="76"/>
      <c r="AJ10" s="76" t="str">
        <f>"ALTER TABLE ONLY "&amp;エンティティ一覧!$O$2&amp;"."&amp;D$8</f>
        <v>ALTER TABLE ONLY milscm_2023_009.sny_202310_backup_mt_seibun_name</v>
      </c>
      <c r="AS10" s="76" t="str">
        <f>"ALTER TABLE "&amp;エンティティ一覧!$O$2&amp;"."&amp;D$8&amp;" OWNER TO pgmisgrp1;"</f>
        <v>ALTER TABLE milscm_2023_009.sny_202310_backup_mt_seibun_name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milscm_2023_009.sny_202310_backup_mt_seibun_name</v>
      </c>
      <c r="O11" s="76"/>
      <c r="P11" s="76"/>
      <c r="Q11" s="76"/>
      <c r="R11" s="76"/>
      <c r="S11" s="76"/>
      <c r="T11" s="76"/>
      <c r="AJ11" s="76" t="str">
        <f>"ADD CONSTRAINT "&amp;D$8&amp;"_pkey PRIMARY KEY"</f>
        <v>ADD CONSTRAINT sny_202310_backup_mt_seibun_name_pkey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2055</v>
      </c>
      <c r="D13" s="6" t="s">
        <v>2056</v>
      </c>
      <c r="E13" s="8"/>
      <c r="F13" s="8" t="s">
        <v>1739</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2057</v>
      </c>
      <c r="D14" s="6" t="s">
        <v>2058</v>
      </c>
      <c r="E14" s="8"/>
      <c r="F14" s="7" t="s">
        <v>1739</v>
      </c>
      <c r="G14" s="7" t="str">
        <f t="shared" ref="G14:G22" si="3">IF(F14="フラグ","boolean",IF(F14="文字列","text",IF(F14="整数","integer",IF(F14="実数","numeric",""))))</f>
        <v>text</v>
      </c>
      <c r="H14" s="26"/>
      <c r="I14" s="10"/>
      <c r="J14" s="11" t="s">
        <v>2069</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2059</v>
      </c>
      <c r="D15" s="6" t="s">
        <v>2060</v>
      </c>
      <c r="E15" s="8" t="s">
        <v>127</v>
      </c>
      <c r="F15" s="7" t="s">
        <v>1739</v>
      </c>
      <c r="G15" s="7" t="str">
        <f t="shared" si="3"/>
        <v>text</v>
      </c>
      <c r="H15" s="26"/>
      <c r="I15" s="10" t="s">
        <v>127</v>
      </c>
      <c r="J15" s="11" t="s">
        <v>2070</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2036</v>
      </c>
      <c r="D16" s="6" t="s">
        <v>2037</v>
      </c>
      <c r="E16" s="8" t="s">
        <v>127</v>
      </c>
      <c r="F16" s="7" t="s">
        <v>1739</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2061</v>
      </c>
      <c r="D17" s="6" t="s">
        <v>2062</v>
      </c>
      <c r="E17" s="8"/>
      <c r="F17" s="7" t="s">
        <v>1739</v>
      </c>
      <c r="G17" s="7" t="str">
        <f t="shared" si="3"/>
        <v>text</v>
      </c>
      <c r="H17" s="26"/>
      <c r="I17" s="10" t="s">
        <v>127</v>
      </c>
      <c r="J17" s="11" t="s">
        <v>2061</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milscm_2023_009.sny_202310_backup_mt_seibun_name.seibun_name IS '成分名';</v>
      </c>
    </row>
    <row r="18" spans="1:52" s="25" customFormat="1" ht="37.5">
      <c r="A18" s="4"/>
      <c r="B18" s="21">
        <f t="shared" si="2"/>
        <v>6</v>
      </c>
      <c r="C18" s="6" t="s">
        <v>2063</v>
      </c>
      <c r="D18" s="6" t="s">
        <v>2064</v>
      </c>
      <c r="E18" s="8"/>
      <c r="F18" s="7" t="s">
        <v>1739</v>
      </c>
      <c r="G18" s="7" t="str">
        <f t="shared" si="3"/>
        <v>text</v>
      </c>
      <c r="H18" s="26"/>
      <c r="I18" s="10"/>
      <c r="J18" s="11" t="s">
        <v>2071</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milscm_2023_009.sny_202310_backup_mt_seibun_name.tanmi_f IS '単味フラグ';</v>
      </c>
    </row>
    <row r="19" spans="1:52" s="25" customFormat="1" ht="37.5">
      <c r="A19" s="4"/>
      <c r="B19" s="21">
        <f t="shared" si="2"/>
        <v>7</v>
      </c>
      <c r="C19" s="6" t="s">
        <v>2065</v>
      </c>
      <c r="D19" s="6" t="s">
        <v>2066</v>
      </c>
      <c r="E19" s="8"/>
      <c r="F19" s="7" t="s">
        <v>1739</v>
      </c>
      <c r="G19" s="7" t="str">
        <f t="shared" si="3"/>
        <v>text</v>
      </c>
      <c r="H19" s="26"/>
      <c r="I19" s="10"/>
      <c r="J19" s="11" t="s">
        <v>2072</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milscm_2023_009.sny_202310_backup_mt_seibun_name.haigo_f IS '配合フラグ';</v>
      </c>
    </row>
    <row r="20" spans="1:52" s="25" customFormat="1" ht="31.9" customHeight="1">
      <c r="A20" s="4"/>
      <c r="B20" s="21">
        <f t="shared" si="2"/>
        <v>8</v>
      </c>
      <c r="C20" s="6" t="s">
        <v>2067</v>
      </c>
      <c r="D20" s="6" t="s">
        <v>2068</v>
      </c>
      <c r="E20" s="8"/>
      <c r="F20" s="7" t="s">
        <v>1739</v>
      </c>
      <c r="G20" s="7" t="str">
        <f t="shared" si="3"/>
        <v>text</v>
      </c>
      <c r="H20" s="26"/>
      <c r="I20" s="10"/>
      <c r="J20" s="11" t="s">
        <v>2073</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milscm_2023_009.sny_202310_backup_mt_seibun_name.time_stamp IS 'タイムスタンプ';</v>
      </c>
    </row>
    <row r="21" spans="1:52" s="25" customFormat="1" ht="56.25">
      <c r="A21" s="4"/>
      <c r="B21" s="21">
        <f t="shared" si="2"/>
        <v>9</v>
      </c>
      <c r="C21" s="6" t="s">
        <v>2048</v>
      </c>
      <c r="D21" s="6" t="s">
        <v>2049</v>
      </c>
      <c r="E21" s="8" t="s">
        <v>127</v>
      </c>
      <c r="F21" s="7" t="s">
        <v>1739</v>
      </c>
      <c r="G21" s="7" t="str">
        <f t="shared" si="3"/>
        <v>text</v>
      </c>
      <c r="H21" s="26"/>
      <c r="I21" s="10" t="s">
        <v>127</v>
      </c>
      <c r="J21" s="11" t="s">
        <v>2052</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milscm_2023_009.sny_202310_backup_mt_seibun_name.koshin_kubun IS '更新区分';</v>
      </c>
    </row>
    <row r="22" spans="1:52" s="25" customFormat="1" ht="19.5" thickBot="1">
      <c r="A22" s="4"/>
      <c r="B22" s="27">
        <f>ROW()-12</f>
        <v>10</v>
      </c>
      <c r="C22" s="57" t="s">
        <v>2050</v>
      </c>
      <c r="D22" s="57" t="s">
        <v>1883</v>
      </c>
      <c r="E22" s="56" t="s">
        <v>127</v>
      </c>
      <c r="F22" s="56" t="s">
        <v>1739</v>
      </c>
      <c r="G22" s="56" t="str">
        <f t="shared" si="3"/>
        <v>text</v>
      </c>
      <c r="H22" s="59"/>
      <c r="I22" s="60" t="s">
        <v>127</v>
      </c>
      <c r="J22" s="64" t="s">
        <v>2074</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ENT_01_A3-10</v>
      </c>
      <c r="E6" s="240"/>
      <c r="F6" s="240"/>
      <c r="G6" s="240"/>
      <c r="H6" s="240"/>
      <c r="I6" s="240"/>
      <c r="J6" s="241"/>
    </row>
    <row r="7" spans="1:45">
      <c r="B7" s="229" t="s">
        <v>115</v>
      </c>
      <c r="C7" s="230"/>
      <c r="D7" s="231" t="s">
        <v>2075</v>
      </c>
      <c r="E7" s="232"/>
      <c r="F7" s="232"/>
      <c r="G7" s="232"/>
      <c r="H7" s="232"/>
      <c r="I7" s="232"/>
      <c r="J7" s="233"/>
    </row>
    <row r="8" spans="1:45">
      <c r="B8" s="229" t="s">
        <v>116</v>
      </c>
      <c r="C8" s="230"/>
      <c r="D8" s="231" t="str">
        <f>エンティティ一覧!AE2&amp;"_"&amp;D5&amp;"_mt_unit"</f>
        <v>sny_202310_backup_mt_unit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単位マスタ取込用テーブルから組入れ条件の第一条件で絞り込んだ結果を格納するテーブル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milscm_2023_009.sny_202310_backup_mt_unit;</v>
      </c>
      <c r="O10" s="76"/>
      <c r="P10" s="76"/>
      <c r="Q10" s="76"/>
      <c r="R10" s="76"/>
      <c r="S10" s="76"/>
      <c r="T10" s="76"/>
      <c r="AJ10" s="76" t="str">
        <f>"ALTER TABLE ONLY "&amp;エンティティ一覧!$O$2&amp;"."&amp;D$8</f>
        <v>ALTER TABLE ONLY milscm_2023_009.sny_202310_backup_mt_unit</v>
      </c>
      <c r="AS10" s="76" t="str">
        <f>"ALTER TABLE "&amp;エンティティ一覧!$O$2&amp;"."&amp;D$8&amp;" OWNER TO pgmisgrp1;"</f>
        <v>ALTER TABLE milscm_2023_009.sny_202310_backup_mt_unit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milscm_2023_009.sny_202310_backup_mt_unit</v>
      </c>
      <c r="O11" s="76"/>
      <c r="P11" s="76"/>
      <c r="Q11" s="76"/>
      <c r="R11" s="76"/>
      <c r="S11" s="76"/>
      <c r="T11" s="76"/>
      <c r="AJ11" s="76" t="str">
        <f>"ADD CONSTRAINT "&amp;D$8&amp;"_pkey PRIMARY KEY"</f>
        <v>ADD CONSTRAINT sny_202310_backup_mt_unit_pkey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milscm_2023_009.sny_202310_backup_mt_unit IS 'バックアップ_単位マスタ取込用';</v>
      </c>
    </row>
    <row r="13" spans="1:45" s="25" customFormat="1">
      <c r="A13" s="4"/>
      <c r="B13" s="21">
        <f>ROW()-12</f>
        <v>1</v>
      </c>
      <c r="C13" s="6" t="s">
        <v>1654</v>
      </c>
      <c r="D13" s="6" t="s">
        <v>1655</v>
      </c>
      <c r="E13" s="8" t="s">
        <v>127</v>
      </c>
      <c r="F13" s="8" t="s">
        <v>1739</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2076</v>
      </c>
      <c r="D14" s="6" t="s">
        <v>2077</v>
      </c>
      <c r="E14" s="8"/>
      <c r="F14" s="7" t="s">
        <v>1739</v>
      </c>
      <c r="G14" s="7" t="str">
        <f t="shared" ref="G14:G17" si="3">IF(F14="フラグ","boolean",IF(F14="文字列","text",IF(F14="整数","integer",IF(F14="実数","numeric",""))))</f>
        <v>text</v>
      </c>
      <c r="H14" s="26"/>
      <c r="I14" s="10"/>
      <c r="J14" s="11" t="s">
        <v>2080</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milscm_2023_009.sny_202310_backup_mt_unit.unit_name IS '単位名称';</v>
      </c>
    </row>
    <row r="15" spans="1:45" s="25" customFormat="1">
      <c r="A15" s="4"/>
      <c r="B15" s="21">
        <f t="shared" si="2"/>
        <v>3</v>
      </c>
      <c r="C15" s="6" t="s">
        <v>2078</v>
      </c>
      <c r="D15" s="6" t="s">
        <v>2079</v>
      </c>
      <c r="E15" s="8"/>
      <c r="F15" s="7" t="s">
        <v>1739</v>
      </c>
      <c r="G15" s="7" t="str">
        <f t="shared" si="3"/>
        <v>text</v>
      </c>
      <c r="H15" s="26"/>
      <c r="I15" s="10"/>
      <c r="J15" s="11" t="s">
        <v>2081</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milscm_2023_009.sny_202310_backup_mt_unit.unit_kansan_keisu IS '単位換算係数';</v>
      </c>
    </row>
    <row r="16" spans="1:45" s="25" customFormat="1" ht="56.25">
      <c r="A16" s="4"/>
      <c r="B16" s="21">
        <f t="shared" si="2"/>
        <v>4</v>
      </c>
      <c r="C16" s="6" t="s">
        <v>2048</v>
      </c>
      <c r="D16" s="6" t="s">
        <v>2049</v>
      </c>
      <c r="E16" s="8" t="s">
        <v>127</v>
      </c>
      <c r="F16" s="7" t="s">
        <v>1739</v>
      </c>
      <c r="G16" s="7" t="str">
        <f t="shared" si="3"/>
        <v>text</v>
      </c>
      <c r="H16" s="26"/>
      <c r="I16" s="10" t="s">
        <v>127</v>
      </c>
      <c r="J16" s="11" t="s">
        <v>2052</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milscm_2023_009.sny_202310_backup_mt_unit.koshin_kubun IS '更新区分';</v>
      </c>
    </row>
    <row r="17" spans="1:52" s="25" customFormat="1" ht="19.5" thickBot="1">
      <c r="A17" s="4"/>
      <c r="B17" s="27">
        <f>ROW()-12</f>
        <v>5</v>
      </c>
      <c r="C17" s="57" t="s">
        <v>2050</v>
      </c>
      <c r="D17" s="57" t="s">
        <v>1883</v>
      </c>
      <c r="E17" s="56" t="s">
        <v>127</v>
      </c>
      <c r="F17" s="56" t="s">
        <v>1739</v>
      </c>
      <c r="G17" s="56" t="str">
        <f t="shared" si="3"/>
        <v>text</v>
      </c>
      <c r="H17" s="59"/>
      <c r="I17" s="60" t="s">
        <v>127</v>
      </c>
      <c r="J17" s="64" t="s">
        <v>2074</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milscm_2023_009.sny_202310_backup_mt_unit.update_ymd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ENT_01_A3-11</v>
      </c>
      <c r="E6" s="240"/>
      <c r="F6" s="240"/>
      <c r="G6" s="240"/>
      <c r="H6" s="240"/>
      <c r="I6" s="240"/>
      <c r="J6" s="241"/>
    </row>
    <row r="7" spans="1:45">
      <c r="B7" s="229" t="s">
        <v>115</v>
      </c>
      <c r="C7" s="230"/>
      <c r="D7" s="231" t="s">
        <v>2082</v>
      </c>
      <c r="E7" s="232"/>
      <c r="F7" s="232"/>
      <c r="G7" s="232"/>
      <c r="H7" s="232"/>
      <c r="I7" s="232"/>
      <c r="J7" s="233"/>
    </row>
    <row r="8" spans="1:45">
      <c r="B8" s="229" t="s">
        <v>116</v>
      </c>
      <c r="C8" s="230"/>
      <c r="D8" s="231" t="str">
        <f>エンティティ一覧!AE2&amp;"_"&amp;D5&amp;"_mt_tekiyou_recept_combi_link"</f>
        <v>sny_202310_backup_mt_tekiyou_recept_combi_link</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milscm_2023_009.sny_202310_backup_mt_tekiyou_recept_combi_link;</v>
      </c>
      <c r="O10" s="76"/>
      <c r="P10" s="76"/>
      <c r="Q10" s="76"/>
      <c r="R10" s="76"/>
      <c r="S10" s="76"/>
      <c r="T10" s="76"/>
      <c r="AJ10" s="76" t="str">
        <f>"ALTER TABLE ONLY "&amp;エンティティ一覧!$O$2&amp;"."&amp;D$8</f>
        <v>ALTER TABLE ONLY milscm_2023_009.sny_202310_backup_mt_tekiyou_recept_combi_link</v>
      </c>
      <c r="AS10" s="76" t="str">
        <f>"ALTER TABLE "&amp;エンティティ一覧!$O$2&amp;"."&amp;D$8&amp;" OWNER TO pgmisgrp1;"</f>
        <v>ALTER TABLE milscm_2023_009.sny_202310_backup_mt_tekiyou_recept_combi_link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milscm_2023_009.sny_202310_backup_mt_tekiyou_recept_combi_link</v>
      </c>
      <c r="O11" s="76"/>
      <c r="P11" s="76"/>
      <c r="Q11" s="76"/>
      <c r="R11" s="76"/>
      <c r="S11" s="76"/>
      <c r="T11" s="76"/>
      <c r="AJ11" s="76" t="str">
        <f>"ADD CONSTRAINT "&amp;D$8&amp;"_pkey PRIMARY KEY"</f>
        <v>ADD CONSTRAINT sny_202310_backup_mt_tekiyou_recept_combi_link_pkey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1.5">
      <c r="A13" s="4"/>
      <c r="B13" s="21">
        <f>ROW()-12</f>
        <v>1</v>
      </c>
      <c r="C13" s="6" t="s">
        <v>2083</v>
      </c>
      <c r="D13" s="6" t="s">
        <v>2084</v>
      </c>
      <c r="E13" s="8" t="s">
        <v>127</v>
      </c>
      <c r="F13" s="8" t="s">
        <v>1739</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2085</v>
      </c>
      <c r="D14" s="6" t="s">
        <v>2086</v>
      </c>
      <c r="E14" s="8" t="s">
        <v>127</v>
      </c>
      <c r="F14" s="7" t="s">
        <v>1739</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milscm_2023_009.sny_202310_backup_mt_tekiyou_recept_combi_link.tekiyou_byoumei_code IS '適用病名コード';</v>
      </c>
    </row>
    <row r="15" spans="1:45" s="25" customFormat="1" ht="37.5">
      <c r="A15" s="4"/>
      <c r="B15" s="21">
        <f t="shared" si="2"/>
        <v>3</v>
      </c>
      <c r="C15" s="6" t="s">
        <v>2087</v>
      </c>
      <c r="D15" s="6" t="s">
        <v>2088</v>
      </c>
      <c r="E15" s="8" t="s">
        <v>127</v>
      </c>
      <c r="F15" s="7" t="s">
        <v>1739</v>
      </c>
      <c r="G15" s="7" t="str">
        <f t="shared" si="3"/>
        <v>text</v>
      </c>
      <c r="H15" s="26"/>
      <c r="I15" s="10" t="s">
        <v>127</v>
      </c>
      <c r="J15" s="11" t="s">
        <v>2098</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2089</v>
      </c>
      <c r="D16" s="6" t="s">
        <v>2090</v>
      </c>
      <c r="E16" s="8"/>
      <c r="F16" s="7" t="s">
        <v>1739</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milscm_2023_009.sny_202310_backup_mt_tekiyou_recept_combi_link.shikkan_name IS '疾患名';</v>
      </c>
    </row>
    <row r="17" spans="1:52" s="25" customFormat="1" ht="37.5">
      <c r="A17" s="4"/>
      <c r="B17" s="21">
        <f t="shared" si="2"/>
        <v>5</v>
      </c>
      <c r="C17" s="6" t="s">
        <v>1909</v>
      </c>
      <c r="D17" s="6" t="s">
        <v>1971</v>
      </c>
      <c r="E17" s="8"/>
      <c r="F17" s="7" t="s">
        <v>1739</v>
      </c>
      <c r="G17" s="7" t="str">
        <f t="shared" si="7"/>
        <v>text</v>
      </c>
      <c r="H17" s="26"/>
      <c r="I17" s="10"/>
      <c r="J17" s="11" t="s">
        <v>2099</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milscm_2023_009.sny_202310_backup_mt_tekiyou_recept_combi_link.haishi_ymd IS '廃止年月日';</v>
      </c>
    </row>
    <row r="18" spans="1:52" s="25" customFormat="1" ht="37.5">
      <c r="A18" s="4"/>
      <c r="B18" s="21">
        <f t="shared" si="2"/>
        <v>6</v>
      </c>
      <c r="C18" s="6" t="s">
        <v>2091</v>
      </c>
      <c r="D18" s="6" t="s">
        <v>2092</v>
      </c>
      <c r="E18" s="8"/>
      <c r="F18" s="7" t="s">
        <v>1739</v>
      </c>
      <c r="G18" s="7" t="str">
        <f t="shared" si="7"/>
        <v>text</v>
      </c>
      <c r="H18" s="26"/>
      <c r="I18" s="10"/>
      <c r="J18" s="11" t="s">
        <v>2100</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2093</v>
      </c>
      <c r="D19" s="6" t="s">
        <v>871</v>
      </c>
      <c r="E19" s="8"/>
      <c r="F19" s="7" t="s">
        <v>1739</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2094</v>
      </c>
      <c r="D20" s="6" t="s">
        <v>2095</v>
      </c>
      <c r="E20" s="8"/>
      <c r="F20" s="7" t="s">
        <v>1739</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2096</v>
      </c>
      <c r="D21" s="6" t="s">
        <v>2097</v>
      </c>
      <c r="E21" s="8"/>
      <c r="F21" s="7" t="s">
        <v>1739</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milscm_2023_009.sny_202310_backup_mt_tekiyou_recept_combi_link.kankeisei_code IS '関係性レベルコード';</v>
      </c>
    </row>
    <row r="22" spans="1:52" s="25" customFormat="1" ht="56.25">
      <c r="A22" s="4"/>
      <c r="B22" s="21">
        <f t="shared" si="2"/>
        <v>10</v>
      </c>
      <c r="C22" s="6" t="s">
        <v>2048</v>
      </c>
      <c r="D22" s="6" t="s">
        <v>2049</v>
      </c>
      <c r="E22" s="8" t="s">
        <v>127</v>
      </c>
      <c r="F22" s="7" t="s">
        <v>1739</v>
      </c>
      <c r="G22" s="7" t="str">
        <f t="shared" si="3"/>
        <v>text</v>
      </c>
      <c r="H22" s="26"/>
      <c r="I22" s="10" t="s">
        <v>127</v>
      </c>
      <c r="J22" s="11" t="s">
        <v>2052</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milscm_2023_009.sny_202310_backup_mt_tekiyou_recept_combi_link.koshin_kubun IS '更新区分';</v>
      </c>
    </row>
    <row r="23" spans="1:52" s="25" customFormat="1" ht="19.5" thickBot="1">
      <c r="A23" s="4"/>
      <c r="B23" s="27">
        <f>ROW()-12</f>
        <v>11</v>
      </c>
      <c r="C23" s="57" t="s">
        <v>2050</v>
      </c>
      <c r="D23" s="57" t="s">
        <v>1883</v>
      </c>
      <c r="E23" s="56" t="s">
        <v>127</v>
      </c>
      <c r="F23" s="56" t="s">
        <v>1739</v>
      </c>
      <c r="G23" s="56" t="str">
        <f t="shared" si="3"/>
        <v>text</v>
      </c>
      <c r="H23" s="59"/>
      <c r="I23" s="60" t="s">
        <v>127</v>
      </c>
      <c r="J23" s="64" t="s">
        <v>2074</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ENT_01_A3-12</v>
      </c>
      <c r="E6" s="240"/>
      <c r="F6" s="240"/>
      <c r="G6" s="240"/>
      <c r="H6" s="240"/>
      <c r="I6" s="240"/>
      <c r="J6" s="241"/>
    </row>
    <row r="7" spans="1:45">
      <c r="B7" s="229" t="s">
        <v>115</v>
      </c>
      <c r="C7" s="230"/>
      <c r="D7" s="231" t="s">
        <v>2101</v>
      </c>
      <c r="E7" s="232"/>
      <c r="F7" s="232"/>
      <c r="G7" s="232"/>
      <c r="H7" s="232"/>
      <c r="I7" s="232"/>
      <c r="J7" s="233"/>
    </row>
    <row r="8" spans="1:45">
      <c r="B8" s="229" t="s">
        <v>116</v>
      </c>
      <c r="C8" s="230"/>
      <c r="D8" s="231" t="str">
        <f>エンティティ一覧!AE2&amp;"_"&amp;D5&amp;"_mt_tekiyou_recept_combi_link_oyako"</f>
        <v>sny_202310_backup_mt_tekiyou_recept_combi_link_oyako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milscm_2023_009.sny_202310_backup_mt_tekiyou_recept_combi_link_oyako;</v>
      </c>
      <c r="O10" s="76"/>
      <c r="P10" s="76"/>
      <c r="Q10" s="76"/>
      <c r="R10" s="76"/>
      <c r="S10" s="76"/>
      <c r="T10" s="76"/>
      <c r="AJ10" s="76" t="str">
        <f>"ALTER TABLE ONLY "&amp;エンティティ一覧!$O$2&amp;"."&amp;D$8</f>
        <v>ALTER TABLE ONLY milscm_2023_009.sny_202310_backup_mt_tekiyou_recept_combi_link_oyako</v>
      </c>
      <c r="AS10" s="76" t="str">
        <f>"ALTER TABLE "&amp;エンティティ一覧!$O$2&amp;"."&amp;D$8&amp;" OWNER TO pgmisgrp1;"</f>
        <v>ALTER TABLE milscm_2023_009.sny_202310_backup_mt_tekiyou_recept_combi_link_oyako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milscm_2023_009.sny_202310_backup_mt_tekiyou_recept_combi_link_oyako</v>
      </c>
      <c r="O11" s="76"/>
      <c r="P11" s="76"/>
      <c r="Q11" s="76"/>
      <c r="R11" s="76"/>
      <c r="S11" s="76"/>
      <c r="T11" s="76"/>
      <c r="AJ11" s="76" t="str">
        <f>"ADD CONSTRAINT "&amp;D$8&amp;"_pkey PRIMARY KEY"</f>
        <v>ADD CONSTRAINT sny_202310_backup_mt_tekiyou_recept_combi_link_oyako_pkey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1.5">
      <c r="A13" s="4"/>
      <c r="B13" s="21">
        <f>ROW()-12</f>
        <v>1</v>
      </c>
      <c r="C13" s="6" t="s">
        <v>2083</v>
      </c>
      <c r="D13" s="6" t="s">
        <v>2084</v>
      </c>
      <c r="E13" s="8" t="s">
        <v>127</v>
      </c>
      <c r="F13" s="8" t="s">
        <v>1739</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2030</v>
      </c>
      <c r="D14" s="6" t="s">
        <v>2031</v>
      </c>
      <c r="E14" s="8" t="s">
        <v>127</v>
      </c>
      <c r="F14" s="7" t="s">
        <v>1739</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milscm_2023_009.sny_202310_backup_mt_tekiyou_recept_combi_link_oyako.yj_code IS 'ＹＪコード';</v>
      </c>
    </row>
    <row r="15" spans="1:45" s="25" customFormat="1" ht="56.25">
      <c r="A15" s="4"/>
      <c r="B15" s="21">
        <f t="shared" si="2"/>
        <v>3</v>
      </c>
      <c r="C15" s="6" t="s">
        <v>2048</v>
      </c>
      <c r="D15" s="6" t="s">
        <v>2049</v>
      </c>
      <c r="E15" s="8" t="s">
        <v>127</v>
      </c>
      <c r="F15" s="7" t="s">
        <v>1739</v>
      </c>
      <c r="G15" s="7" t="str">
        <f t="shared" si="3"/>
        <v>text</v>
      </c>
      <c r="H15" s="26"/>
      <c r="I15" s="10" t="s">
        <v>127</v>
      </c>
      <c r="J15" s="11" t="s">
        <v>2052</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milscm_2023_009.sny_202310_backup_mt_tekiyou_recept_combi_link_oyako.koshin_kubun IS '更新区分';</v>
      </c>
    </row>
    <row r="16" spans="1:45" s="25" customFormat="1" ht="19.5" thickBot="1">
      <c r="A16" s="4"/>
      <c r="B16" s="27">
        <f>ROW()-12</f>
        <v>4</v>
      </c>
      <c r="C16" s="57" t="s">
        <v>2050</v>
      </c>
      <c r="D16" s="57" t="s">
        <v>1883</v>
      </c>
      <c r="E16" s="56" t="s">
        <v>127</v>
      </c>
      <c r="F16" s="56" t="s">
        <v>1739</v>
      </c>
      <c r="G16" s="56" t="str">
        <f t="shared" si="3"/>
        <v>text</v>
      </c>
      <c r="H16" s="59"/>
      <c r="I16" s="60" t="s">
        <v>127</v>
      </c>
      <c r="J16" s="64" t="s">
        <v>2074</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milscm_2023_009.sny_202310_backup_mt_tekiyou_recept_combi_link_oyako.update_ymd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ENT_01_A3-13</v>
      </c>
      <c r="E6" s="240"/>
      <c r="F6" s="240"/>
      <c r="G6" s="240"/>
      <c r="H6" s="240"/>
      <c r="I6" s="240"/>
      <c r="J6" s="241"/>
    </row>
    <row r="7" spans="1:45">
      <c r="B7" s="229" t="s">
        <v>115</v>
      </c>
      <c r="C7" s="230"/>
      <c r="D7" s="231" t="s">
        <v>2102</v>
      </c>
      <c r="E7" s="232"/>
      <c r="F7" s="232"/>
      <c r="G7" s="232"/>
      <c r="H7" s="232"/>
      <c r="I7" s="232"/>
      <c r="J7" s="233"/>
    </row>
    <row r="8" spans="1:45">
      <c r="B8" s="229" t="s">
        <v>116</v>
      </c>
      <c r="C8" s="230"/>
      <c r="D8" s="231" t="str">
        <f>エンティティ一覧!AE2&amp;"_"&amp;D5&amp;"_mt_tekiyou_byoumei"</f>
        <v>sny_202310_backup_mt_tekiyou_byoumei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milscm_2023_009.sny_202310_backup_mt_tekiyou_byoumei;</v>
      </c>
      <c r="O10" s="76"/>
      <c r="P10" s="76"/>
      <c r="Q10" s="76"/>
      <c r="R10" s="76"/>
      <c r="S10" s="76"/>
      <c r="T10" s="76"/>
      <c r="AJ10" s="76" t="str">
        <f>"ALTER TABLE ONLY "&amp;エンティティ一覧!$O$2&amp;"."&amp;D$8</f>
        <v>ALTER TABLE ONLY milscm_2023_009.sny_202310_backup_mt_tekiyou_byoumei</v>
      </c>
      <c r="AS10" s="76" t="str">
        <f>"ALTER TABLE "&amp;エンティティ一覧!$O$2&amp;"."&amp;D$8&amp;" OWNER TO pgmisgrp1;"</f>
        <v>ALTER TABLE milscm_2023_009.sny_202310_backup_mt_tekiyou_byoumei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milscm_2023_009.sny_202310_backup_mt_tekiyou_byoumei</v>
      </c>
      <c r="O11" s="76"/>
      <c r="P11" s="76"/>
      <c r="Q11" s="76"/>
      <c r="R11" s="76"/>
      <c r="S11" s="76"/>
      <c r="T11" s="76"/>
      <c r="AJ11" s="76" t="str">
        <f>"ADD CONSTRAINT "&amp;D$8&amp;"_pkey PRIMARY KEY"</f>
        <v>ADD CONSTRAINT sny_202310_backup_mt_tekiyou_byoumei_pkey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2103</v>
      </c>
      <c r="D13" s="6" t="s">
        <v>2104</v>
      </c>
      <c r="E13" s="8"/>
      <c r="F13" s="8" t="s">
        <v>1739</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2105</v>
      </c>
      <c r="D14" s="6" t="s">
        <v>2106</v>
      </c>
      <c r="E14" s="8"/>
      <c r="F14" s="7" t="s">
        <v>1739</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2107</v>
      </c>
      <c r="D15" s="6" t="s">
        <v>2108</v>
      </c>
      <c r="E15" s="8"/>
      <c r="F15" s="7" t="s">
        <v>1739</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2085</v>
      </c>
      <c r="D16" s="6" t="s">
        <v>2086</v>
      </c>
      <c r="E16" s="8" t="s">
        <v>127</v>
      </c>
      <c r="F16" s="7" t="s">
        <v>1739</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2109</v>
      </c>
      <c r="D17" s="6" t="s">
        <v>2110</v>
      </c>
      <c r="E17" s="8"/>
      <c r="F17" s="7" t="s">
        <v>1739</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milscm_2023_009.sny_202310_backup_mt_tekiyou_byoumei.tekiyou_byoumei_name IS '適用病名';</v>
      </c>
    </row>
    <row r="18" spans="1:52" s="25" customFormat="1" ht="56.25">
      <c r="A18" s="4"/>
      <c r="B18" s="21">
        <f t="shared" si="2"/>
        <v>6</v>
      </c>
      <c r="C18" s="6" t="s">
        <v>2048</v>
      </c>
      <c r="D18" s="6" t="s">
        <v>2049</v>
      </c>
      <c r="E18" s="8" t="s">
        <v>127</v>
      </c>
      <c r="F18" s="7" t="s">
        <v>1739</v>
      </c>
      <c r="G18" s="7" t="str">
        <f t="shared" si="3"/>
        <v>text</v>
      </c>
      <c r="H18" s="26"/>
      <c r="I18" s="10" t="s">
        <v>127</v>
      </c>
      <c r="J18" s="11" t="s">
        <v>2052</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milscm_2023_009.sny_202310_backup_mt_tekiyou_byoumei.koshin_kubun IS '更新区分';</v>
      </c>
    </row>
    <row r="19" spans="1:52" s="25" customFormat="1" ht="19.5" thickBot="1">
      <c r="A19" s="4"/>
      <c r="B19" s="27">
        <f>ROW()-12</f>
        <v>7</v>
      </c>
      <c r="C19" s="57" t="s">
        <v>1978</v>
      </c>
      <c r="D19" s="57" t="s">
        <v>1883</v>
      </c>
      <c r="E19" s="56" t="s">
        <v>127</v>
      </c>
      <c r="F19" s="56" t="s">
        <v>1739</v>
      </c>
      <c r="G19" s="56" t="str">
        <f t="shared" si="3"/>
        <v>text</v>
      </c>
      <c r="H19" s="59"/>
      <c r="I19" s="60" t="s">
        <v>127</v>
      </c>
      <c r="J19" s="64" t="s">
        <v>2074</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ENT_01_A3-14</v>
      </c>
      <c r="E6" s="240"/>
      <c r="F6" s="240"/>
      <c r="G6" s="240"/>
      <c r="H6" s="240"/>
      <c r="I6" s="240"/>
      <c r="J6" s="241"/>
    </row>
    <row r="7" spans="1:45">
      <c r="B7" s="229" t="s">
        <v>115</v>
      </c>
      <c r="C7" s="230"/>
      <c r="D7" s="231" t="s">
        <v>2111</v>
      </c>
      <c r="E7" s="232"/>
      <c r="F7" s="232"/>
      <c r="G7" s="232"/>
      <c r="H7" s="232"/>
      <c r="I7" s="232"/>
      <c r="J7" s="233"/>
    </row>
    <row r="8" spans="1:45">
      <c r="B8" s="229" t="s">
        <v>116</v>
      </c>
      <c r="C8" s="230"/>
      <c r="D8" s="231" t="str">
        <f>エンティティ一覧!AE2&amp;"_"&amp;D5&amp;"_mt_yjcode_receptdensancode_link"</f>
        <v>sny_202310_backup_mt_yjcode_receptdensancode_link</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milscm_2023_009.sny_202310_backup_mt_yjcode_receptdensancode_link;</v>
      </c>
      <c r="O10" s="76"/>
      <c r="P10" s="76"/>
      <c r="Q10" s="76"/>
      <c r="R10" s="76"/>
      <c r="S10" s="76"/>
      <c r="T10" s="76"/>
      <c r="AJ10" s="76" t="str">
        <f>"ALTER TABLE ONLY "&amp;エンティティ一覧!$O$2&amp;"."&amp;D$8</f>
        <v>ALTER TABLE ONLY milscm_2023_009.sny_202310_backup_mt_yjcode_receptdensancode_link</v>
      </c>
      <c r="AS10" s="76" t="str">
        <f>"ALTER TABLE "&amp;エンティティ一覧!$O$2&amp;"."&amp;D$8&amp;" OWNER TO pgmisgrp1;"</f>
        <v>ALTER TABLE milscm_2023_009.sny_202310_backup_mt_yjcode_receptdensancode_link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milscm_2023_009.sny_202310_backup_mt_yjcode_receptdensancode_link</v>
      </c>
      <c r="O11" s="76"/>
      <c r="P11" s="76"/>
      <c r="Q11" s="76"/>
      <c r="R11" s="76"/>
      <c r="S11" s="76"/>
      <c r="T11" s="76"/>
      <c r="AJ11" s="76" t="str">
        <f>"ADD CONSTRAINT "&amp;D$8&amp;"_pkey PRIMARY KEY"</f>
        <v>ADD CONSTRAINT sny_202310_backup_mt_yjcode_receptdensancode_link_pkey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2030</v>
      </c>
      <c r="D13" s="6" t="s">
        <v>2031</v>
      </c>
      <c r="E13" s="8" t="s">
        <v>127</v>
      </c>
      <c r="F13" s="8" t="s">
        <v>1739</v>
      </c>
      <c r="G13" s="7" t="str">
        <f>IF(F13="フラグ","boolean",IF(F13="文字列","text",IF(F13="整数","integer",IF(F13="実数","numeric",""))))</f>
        <v>text</v>
      </c>
      <c r="H13" s="9"/>
      <c r="I13" s="10"/>
      <c r="J13" s="11" t="s">
        <v>2119</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2112</v>
      </c>
      <c r="D14" s="6" t="s">
        <v>1160</v>
      </c>
      <c r="E14" s="8"/>
      <c r="F14" s="7" t="s">
        <v>1739</v>
      </c>
      <c r="G14" s="7" t="str">
        <f t="shared" ref="G14:G19" si="3">IF(F14="フラグ","boolean",IF(F14="文字列","text",IF(F14="整数","integer",IF(F14="実数","numeric",""))))</f>
        <v>text</v>
      </c>
      <c r="H14" s="26"/>
      <c r="I14" s="10"/>
      <c r="J14" s="11" t="s">
        <v>2120</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2113</v>
      </c>
      <c r="D15" s="6" t="s">
        <v>2114</v>
      </c>
      <c r="E15" s="8"/>
      <c r="F15" s="7" t="s">
        <v>1739</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2115</v>
      </c>
      <c r="D16" s="6" t="s">
        <v>2116</v>
      </c>
      <c r="E16" s="8"/>
      <c r="F16" s="7" t="s">
        <v>1739</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2117</v>
      </c>
      <c r="D17" s="6" t="s">
        <v>2118</v>
      </c>
      <c r="E17" s="8"/>
      <c r="F17" s="7" t="s">
        <v>1739</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milscm_2023_009.sny_202310_backup_mt_yjcode_receptdensancode_link.kikaku_naiyou IS '規格内容';</v>
      </c>
    </row>
    <row r="18" spans="1:52" s="25" customFormat="1" ht="56.25">
      <c r="A18" s="4"/>
      <c r="B18" s="21">
        <f t="shared" si="2"/>
        <v>6</v>
      </c>
      <c r="C18" s="6" t="s">
        <v>2048</v>
      </c>
      <c r="D18" s="6" t="s">
        <v>2049</v>
      </c>
      <c r="E18" s="8" t="s">
        <v>127</v>
      </c>
      <c r="F18" s="7" t="s">
        <v>1739</v>
      </c>
      <c r="G18" s="7" t="str">
        <f t="shared" si="3"/>
        <v>text</v>
      </c>
      <c r="H18" s="26"/>
      <c r="I18" s="10" t="s">
        <v>127</v>
      </c>
      <c r="J18" s="11" t="s">
        <v>2052</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milscm_2023_009.sny_202310_backup_mt_yjcode_receptdensancode_link.koshin_kubun IS '更新区分';</v>
      </c>
    </row>
    <row r="19" spans="1:52" s="25" customFormat="1" ht="19.5" thickBot="1">
      <c r="A19" s="4"/>
      <c r="B19" s="27">
        <f>ROW()-12</f>
        <v>7</v>
      </c>
      <c r="C19" s="57" t="s">
        <v>2050</v>
      </c>
      <c r="D19" s="57" t="s">
        <v>1883</v>
      </c>
      <c r="E19" s="56" t="s">
        <v>127</v>
      </c>
      <c r="F19" s="56" t="s">
        <v>1739</v>
      </c>
      <c r="G19" s="56" t="str">
        <f t="shared" si="3"/>
        <v>text</v>
      </c>
      <c r="H19" s="59"/>
      <c r="I19" s="60" t="s">
        <v>127</v>
      </c>
      <c r="J19" s="64" t="s">
        <v>2074</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ENT_01_A3-15</v>
      </c>
      <c r="E6" s="240"/>
      <c r="F6" s="240"/>
      <c r="G6" s="240"/>
      <c r="H6" s="240"/>
      <c r="I6" s="240"/>
      <c r="J6" s="241"/>
    </row>
    <row r="7" spans="1:45">
      <c r="B7" s="229" t="s">
        <v>115</v>
      </c>
      <c r="C7" s="230"/>
      <c r="D7" s="231" t="s">
        <v>2121</v>
      </c>
      <c r="E7" s="232"/>
      <c r="F7" s="232"/>
      <c r="G7" s="232"/>
      <c r="H7" s="232"/>
      <c r="I7" s="232"/>
      <c r="J7" s="233"/>
    </row>
    <row r="8" spans="1:45">
      <c r="B8" s="229" t="s">
        <v>116</v>
      </c>
      <c r="C8" s="230"/>
      <c r="D8" s="231" t="str">
        <f>エンティティ一覧!AE2&amp;"_"&amp;D5&amp;"_mt_shinryo_koi_fuka"</f>
        <v>sny_202310_backup_mt_shinryo_koi_fuka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milscm_2023_009.sny_202310_backup_mt_shinryo_koi_fuka;</v>
      </c>
      <c r="O10" s="76"/>
      <c r="P10" s="76"/>
      <c r="Q10" s="76"/>
      <c r="R10" s="76"/>
      <c r="S10" s="76"/>
      <c r="T10" s="76"/>
      <c r="AJ10" s="76" t="str">
        <f>"ALTER TABLE ONLY "&amp;エンティティ一覧!$O$2&amp;"."&amp;D$8</f>
        <v>ALTER TABLE ONLY milscm_2023_009.sny_202310_backup_mt_shinryo_koi_fuka</v>
      </c>
      <c r="AS10" s="76" t="str">
        <f>"ALTER TABLE "&amp;エンティティ一覧!$O$2&amp;"."&amp;D$8&amp;" OWNER TO pgmisgrp1;"</f>
        <v>ALTER TABLE milscm_2023_009.sny_202310_backup_mt_shinryo_koi_fuka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milscm_2023_009.sny_202310_backup_mt_shinryo_koi_fuka</v>
      </c>
      <c r="O11" s="76"/>
      <c r="P11" s="76"/>
      <c r="Q11" s="76"/>
      <c r="R11" s="76"/>
      <c r="S11" s="76"/>
      <c r="T11" s="76"/>
      <c r="AJ11" s="76" t="str">
        <f>"ADD CONSTRAINT "&amp;D$8&amp;"_pkey PRIMARY KEY"</f>
        <v>ADD CONSTRAINT sny_202310_backup_mt_shinryo_koi_fuka_pkey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milscm_2023_009.sny_202310_backup_mt_shinryo_koi_fuka IS 'バックアップ_診療行為付加情報マスタ取込用';</v>
      </c>
    </row>
    <row r="13" spans="1:45" s="25" customFormat="1" ht="75">
      <c r="A13" s="4"/>
      <c r="B13" s="21">
        <f>ROW()-12</f>
        <v>1</v>
      </c>
      <c r="C13" s="6" t="s">
        <v>2122</v>
      </c>
      <c r="D13" s="6" t="s">
        <v>2049</v>
      </c>
      <c r="E13" s="8" t="s">
        <v>127</v>
      </c>
      <c r="F13" s="8" t="s">
        <v>1739</v>
      </c>
      <c r="G13" s="7" t="str">
        <f>IF(F13="フラグ","boolean",IF(F13="文字列","text",IF(F13="整数","integer",IF(F13="実数","numeric",""))))</f>
        <v>text</v>
      </c>
      <c r="H13" s="9"/>
      <c r="I13" s="10" t="s">
        <v>127</v>
      </c>
      <c r="J13" s="11" t="s">
        <v>1979</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1946</v>
      </c>
      <c r="D14" s="6" t="s">
        <v>1947</v>
      </c>
      <c r="E14" s="8"/>
      <c r="F14" s="7" t="s">
        <v>1739</v>
      </c>
      <c r="G14" s="7" t="str">
        <f t="shared" ref="G14:G163" si="3">IF(F14="フラグ","boolean",IF(F14="文字列","text",IF(F14="整数","integer",IF(F14="実数","numeric",""))))</f>
        <v>text</v>
      </c>
      <c r="H14" s="26"/>
      <c r="I14" s="10" t="s">
        <v>127</v>
      </c>
      <c r="J14" s="11" t="s">
        <v>2396</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1127</v>
      </c>
      <c r="D15" s="6" t="s">
        <v>1128</v>
      </c>
      <c r="E15" s="8" t="s">
        <v>127</v>
      </c>
      <c r="F15" s="7" t="s">
        <v>1739</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milscm_2023_009.sny_202310_backup_mt_shinryo_koi_fuka.shinryo_koi_code IS '診療行為コード';</v>
      </c>
    </row>
    <row r="16" spans="1:45" s="25" customFormat="1" ht="31.5">
      <c r="A16" s="4"/>
      <c r="B16" s="21">
        <f t="shared" si="2"/>
        <v>4</v>
      </c>
      <c r="C16" s="6" t="s">
        <v>2123</v>
      </c>
      <c r="D16" s="6" t="s">
        <v>2124</v>
      </c>
      <c r="E16" s="8"/>
      <c r="F16" s="7" t="s">
        <v>1849</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2125</v>
      </c>
      <c r="D17" s="6" t="s">
        <v>2126</v>
      </c>
      <c r="E17" s="8"/>
      <c r="F17" s="7" t="s">
        <v>1739</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milscm_2023_009.sny_202310_backup_mt_shinryo_koi_fuka.shinryo_koi_kanji_name IS '診療行為省略漢字名称';</v>
      </c>
    </row>
    <row r="18" spans="1:45" s="25" customFormat="1" ht="31.5">
      <c r="A18" s="4"/>
      <c r="B18" s="21">
        <f t="shared" si="2"/>
        <v>6</v>
      </c>
      <c r="C18" s="6" t="s">
        <v>2127</v>
      </c>
      <c r="D18" s="6" t="s">
        <v>2128</v>
      </c>
      <c r="E18" s="8"/>
      <c r="F18" s="7" t="s">
        <v>1849</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2129</v>
      </c>
      <c r="D19" s="6" t="s">
        <v>2130</v>
      </c>
      <c r="E19" s="8"/>
      <c r="F19" s="7" t="s">
        <v>1739</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2131</v>
      </c>
      <c r="D20" s="6" t="s">
        <v>2132</v>
      </c>
      <c r="E20" s="8"/>
      <c r="F20" s="7" t="s">
        <v>1739</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2133</v>
      </c>
      <c r="D21" s="6" t="s">
        <v>2134</v>
      </c>
      <c r="E21" s="8"/>
      <c r="F21" s="7" t="s">
        <v>1849</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2135</v>
      </c>
      <c r="D22" s="6" t="s">
        <v>2136</v>
      </c>
      <c r="E22" s="8"/>
      <c r="F22" s="7" t="s">
        <v>1739</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2137</v>
      </c>
      <c r="D23" s="6" t="s">
        <v>2138</v>
      </c>
      <c r="E23" s="8"/>
      <c r="F23" s="7" t="s">
        <v>1849</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milscm_2023_009.sny_202310_backup_mt_shinryo_koi_fuka.gen_tensu_shikibetsu IS '新又は現点数識別';</v>
      </c>
    </row>
    <row r="24" spans="1:45" s="25" customFormat="1" ht="37.5">
      <c r="A24" s="4"/>
      <c r="B24" s="21">
        <f t="shared" si="2"/>
        <v>12</v>
      </c>
      <c r="C24" s="6" t="s">
        <v>2139</v>
      </c>
      <c r="D24" s="6" t="s">
        <v>2140</v>
      </c>
      <c r="E24" s="8"/>
      <c r="F24" s="7" t="s">
        <v>1746</v>
      </c>
      <c r="G24" s="7" t="str">
        <f t="shared" si="7"/>
        <v>numeric</v>
      </c>
      <c r="H24" s="26"/>
      <c r="I24" s="10"/>
      <c r="J24" s="11" t="s">
        <v>2397</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2141</v>
      </c>
      <c r="D25" s="6" t="s">
        <v>2142</v>
      </c>
      <c r="E25" s="8"/>
      <c r="F25" s="7" t="s">
        <v>1739</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2143</v>
      </c>
      <c r="D26" s="6" t="s">
        <v>2144</v>
      </c>
      <c r="E26" s="8"/>
      <c r="F26" s="7" t="s">
        <v>1739</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milscm_2023_009.sny_202310_backup_mt_shinryo_koi_fuka.aged_tekiyo_kubun IS '後期高齢者医療適用区分';</v>
      </c>
    </row>
    <row r="27" spans="1:45" s="25" customFormat="1" ht="31.5">
      <c r="A27" s="4"/>
      <c r="B27" s="21">
        <f t="shared" si="2"/>
        <v>15</v>
      </c>
      <c r="C27" s="6" t="s">
        <v>2145</v>
      </c>
      <c r="D27" s="6" t="s">
        <v>2146</v>
      </c>
      <c r="E27" s="8"/>
      <c r="F27" s="7" t="s">
        <v>1739</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2147</v>
      </c>
      <c r="D28" s="6" t="s">
        <v>2148</v>
      </c>
      <c r="E28" s="8"/>
      <c r="F28" s="7" t="s">
        <v>1739</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1950</v>
      </c>
      <c r="D29" s="6" t="s">
        <v>925</v>
      </c>
      <c r="E29" s="8"/>
      <c r="F29" s="7" t="s">
        <v>1739</v>
      </c>
      <c r="G29" s="7" t="str">
        <f t="shared" si="7"/>
        <v>text</v>
      </c>
      <c r="H29" s="26"/>
      <c r="I29" s="10"/>
      <c r="J29" s="11" t="s">
        <v>2398</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2149</v>
      </c>
      <c r="D30" s="6" t="s">
        <v>2150</v>
      </c>
      <c r="E30" s="8"/>
      <c r="F30" s="7" t="s">
        <v>1739</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2151</v>
      </c>
      <c r="D31" s="6" t="s">
        <v>2152</v>
      </c>
      <c r="E31" s="8"/>
      <c r="F31" s="7" t="s">
        <v>1739</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2153</v>
      </c>
      <c r="D32" s="6" t="s">
        <v>2154</v>
      </c>
      <c r="E32" s="8"/>
      <c r="F32" s="7" t="s">
        <v>1739</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2155</v>
      </c>
      <c r="D33" s="6" t="s">
        <v>2156</v>
      </c>
      <c r="E33" s="8"/>
      <c r="F33" s="7" t="s">
        <v>1739</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2157</v>
      </c>
      <c r="D34" s="6" t="s">
        <v>2158</v>
      </c>
      <c r="E34" s="8"/>
      <c r="F34" s="7" t="s">
        <v>1739</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2159</v>
      </c>
      <c r="D35" s="6" t="s">
        <v>2160</v>
      </c>
      <c r="E35" s="8"/>
      <c r="F35" s="7" t="s">
        <v>1739</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1951</v>
      </c>
      <c r="D36" s="6" t="s">
        <v>976</v>
      </c>
      <c r="E36" s="8"/>
      <c r="F36" s="7" t="s">
        <v>1739</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2161</v>
      </c>
      <c r="D37" s="6" t="s">
        <v>2162</v>
      </c>
      <c r="E37" s="8"/>
      <c r="F37" s="7" t="s">
        <v>1739</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1957</v>
      </c>
      <c r="D38" s="6" t="s">
        <v>978</v>
      </c>
      <c r="E38" s="8"/>
      <c r="F38" s="7" t="s">
        <v>1739</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2163</v>
      </c>
      <c r="D39" s="6" t="s">
        <v>2164</v>
      </c>
      <c r="E39" s="8"/>
      <c r="F39" s="7" t="s">
        <v>1849</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2165</v>
      </c>
      <c r="D40" s="6" t="s">
        <v>2166</v>
      </c>
      <c r="E40" s="8"/>
      <c r="F40" s="7" t="s">
        <v>1849</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2167</v>
      </c>
      <c r="D41" s="6" t="s">
        <v>2168</v>
      </c>
      <c r="E41" s="8"/>
      <c r="F41" s="7" t="s">
        <v>1739</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2169</v>
      </c>
      <c r="D42" s="6" t="s">
        <v>2170</v>
      </c>
      <c r="E42" s="8"/>
      <c r="F42" s="7" t="s">
        <v>1739</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2171</v>
      </c>
      <c r="D43" s="6" t="s">
        <v>2172</v>
      </c>
      <c r="E43" s="8"/>
      <c r="F43" s="7" t="s">
        <v>1849</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2173</v>
      </c>
      <c r="D44" s="6" t="s">
        <v>2174</v>
      </c>
      <c r="E44" s="8"/>
      <c r="F44" s="7" t="s">
        <v>1849</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2175</v>
      </c>
      <c r="D45" s="6" t="s">
        <v>2176</v>
      </c>
      <c r="E45" s="8"/>
      <c r="F45" s="7" t="s">
        <v>1849</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milscm_2023_009.sny_202310_backup_mt_shinryo_koi_fuka.kizami_value IS 'きざみ値';</v>
      </c>
    </row>
    <row r="46" spans="1:45" s="25" customFormat="1" ht="37.5">
      <c r="A46" s="4"/>
      <c r="B46" s="21">
        <f t="shared" si="2"/>
        <v>34</v>
      </c>
      <c r="C46" s="6" t="s">
        <v>2177</v>
      </c>
      <c r="D46" s="6" t="s">
        <v>2178</v>
      </c>
      <c r="E46" s="8"/>
      <c r="F46" s="7" t="s">
        <v>1746</v>
      </c>
      <c r="G46" s="7" t="str">
        <f t="shared" si="7"/>
        <v>numeric</v>
      </c>
      <c r="H46" s="26"/>
      <c r="I46" s="10"/>
      <c r="J46" s="11" t="s">
        <v>2397</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2179</v>
      </c>
      <c r="D47" s="6" t="s">
        <v>2180</v>
      </c>
      <c r="E47" s="8"/>
      <c r="F47" s="7" t="s">
        <v>1739</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2181</v>
      </c>
      <c r="D48" s="6" t="s">
        <v>2182</v>
      </c>
      <c r="E48" s="8"/>
      <c r="F48" s="7" t="s">
        <v>1849</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2183</v>
      </c>
      <c r="D49" s="6" t="s">
        <v>2184</v>
      </c>
      <c r="E49" s="8"/>
      <c r="F49" s="7" t="s">
        <v>1739</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2185</v>
      </c>
      <c r="D50" s="6" t="s">
        <v>2186</v>
      </c>
      <c r="E50" s="8"/>
      <c r="F50" s="7" t="s">
        <v>1739</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2187</v>
      </c>
      <c r="D51" s="6" t="s">
        <v>2188</v>
      </c>
      <c r="E51" s="8"/>
      <c r="F51" s="7" t="s">
        <v>1739</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2189</v>
      </c>
      <c r="D52" s="6" t="s">
        <v>2190</v>
      </c>
      <c r="E52" s="8"/>
      <c r="F52" s="7" t="s">
        <v>1739</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2191</v>
      </c>
      <c r="D53" s="6" t="s">
        <v>2192</v>
      </c>
      <c r="E53" s="8"/>
      <c r="F53" s="7" t="s">
        <v>1739</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2193</v>
      </c>
      <c r="D54" s="6" t="s">
        <v>2194</v>
      </c>
      <c r="E54" s="8"/>
      <c r="F54" s="7" t="s">
        <v>1739</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2195</v>
      </c>
      <c r="D55" s="6" t="s">
        <v>2196</v>
      </c>
      <c r="E55" s="8"/>
      <c r="F55" s="7" t="s">
        <v>1739</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2197</v>
      </c>
      <c r="D56" s="6" t="s">
        <v>2198</v>
      </c>
      <c r="E56" s="8"/>
      <c r="F56" s="7" t="s">
        <v>1739</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2199</v>
      </c>
      <c r="D57" s="6" t="s">
        <v>2200</v>
      </c>
      <c r="E57" s="8"/>
      <c r="F57" s="7" t="s">
        <v>1739</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2201</v>
      </c>
      <c r="D58" s="6" t="s">
        <v>2202</v>
      </c>
      <c r="E58" s="8"/>
      <c r="F58" s="7" t="s">
        <v>1739</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2203</v>
      </c>
      <c r="D59" s="6" t="s">
        <v>2204</v>
      </c>
      <c r="E59" s="8"/>
      <c r="F59" s="7" t="s">
        <v>1739</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milscm_2023_009.sny_202310_backup_mt_shinryo_koi_fuka.taijuji_kasan_kubun IS '極低出生体重児加算区分';</v>
      </c>
    </row>
    <row r="60" spans="1:45" s="25" customFormat="1" ht="31.5">
      <c r="A60" s="4"/>
      <c r="B60" s="21">
        <f t="shared" si="2"/>
        <v>48</v>
      </c>
      <c r="C60" s="6" t="s">
        <v>2205</v>
      </c>
      <c r="D60" s="6" t="s">
        <v>2206</v>
      </c>
      <c r="E60" s="8"/>
      <c r="F60" s="7" t="s">
        <v>1739</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2207</v>
      </c>
      <c r="D61" s="6" t="s">
        <v>2208</v>
      </c>
      <c r="E61" s="8"/>
      <c r="F61" s="7" t="s">
        <v>1739</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2209</v>
      </c>
      <c r="D62" s="6" t="s">
        <v>2210</v>
      </c>
      <c r="E62" s="8"/>
      <c r="F62" s="7" t="s">
        <v>1739</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milscm_2023_009.sny_202310_backup_mt_shinryo_koi_fuka.kensa_handan_kubun IS '検査等実施判断区分';</v>
      </c>
    </row>
    <row r="63" spans="1:45" s="25" customFormat="1" ht="31.5">
      <c r="A63" s="4"/>
      <c r="B63" s="21">
        <f t="shared" si="2"/>
        <v>51</v>
      </c>
      <c r="C63" s="6" t="s">
        <v>2211</v>
      </c>
      <c r="D63" s="6" t="s">
        <v>2212</v>
      </c>
      <c r="E63" s="8"/>
      <c r="F63" s="7" t="s">
        <v>1739</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2213</v>
      </c>
      <c r="D64" s="6" t="s">
        <v>2214</v>
      </c>
      <c r="E64" s="8"/>
      <c r="F64" s="7" t="s">
        <v>1739</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2215</v>
      </c>
      <c r="D65" s="6" t="s">
        <v>2216</v>
      </c>
      <c r="E65" s="8"/>
      <c r="F65" s="7" t="s">
        <v>1739</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2217</v>
      </c>
      <c r="D66" s="6" t="s">
        <v>2218</v>
      </c>
      <c r="E66" s="8"/>
      <c r="F66" s="7" t="s">
        <v>1739</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2219</v>
      </c>
      <c r="D67" s="6" t="s">
        <v>2220</v>
      </c>
      <c r="E67" s="8"/>
      <c r="F67" s="7" t="s">
        <v>1739</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2221</v>
      </c>
      <c r="D68" s="6" t="s">
        <v>2222</v>
      </c>
      <c r="E68" s="8"/>
      <c r="F68" s="7" t="s">
        <v>1739</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2223</v>
      </c>
      <c r="D69" s="6" t="s">
        <v>2224</v>
      </c>
      <c r="E69" s="8"/>
      <c r="F69" s="7" t="s">
        <v>1739</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milscm_2023_009.sny_202310_backup_mt_shinryo_koi_fuka.old_tensu_shikibetsu IS '旧点数識別';</v>
      </c>
    </row>
    <row r="70" spans="1:45" s="25" customFormat="1" ht="37.5">
      <c r="A70" s="4"/>
      <c r="B70" s="21">
        <f t="shared" si="2"/>
        <v>58</v>
      </c>
      <c r="C70" s="6" t="s">
        <v>2225</v>
      </c>
      <c r="D70" s="6" t="s">
        <v>2226</v>
      </c>
      <c r="E70" s="8"/>
      <c r="F70" s="7" t="s">
        <v>1746</v>
      </c>
      <c r="G70" s="7" t="str">
        <f t="shared" si="7"/>
        <v>numeric</v>
      </c>
      <c r="H70" s="26"/>
      <c r="I70" s="10"/>
      <c r="J70" s="11" t="s">
        <v>2397</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2227</v>
      </c>
      <c r="D71" s="6" t="s">
        <v>2228</v>
      </c>
      <c r="E71" s="8"/>
      <c r="F71" s="7" t="s">
        <v>1739</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2229</v>
      </c>
      <c r="D72" s="6" t="s">
        <v>2230</v>
      </c>
      <c r="E72" s="8"/>
      <c r="F72" s="7" t="s">
        <v>1739</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2231</v>
      </c>
      <c r="D73" s="6" t="s">
        <v>2232</v>
      </c>
      <c r="E73" s="8"/>
      <c r="F73" s="7" t="s">
        <v>1739</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2233</v>
      </c>
      <c r="D74" s="6" t="s">
        <v>2234</v>
      </c>
      <c r="E74" s="8"/>
      <c r="F74" s="7" t="s">
        <v>1739</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2235</v>
      </c>
      <c r="D75" s="6" t="s">
        <v>2236</v>
      </c>
      <c r="E75" s="8"/>
      <c r="F75" s="7" t="s">
        <v>1739</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milscm_2023_009.sny_202310_backup_mt_shinryo_koi_fuka.hokatsu_teigen_kubun IS '包括逓減区分';</v>
      </c>
    </row>
    <row r="76" spans="1:45" s="25" customFormat="1" ht="31.5">
      <c r="A76" s="4"/>
      <c r="B76" s="21">
        <f t="shared" si="2"/>
        <v>64</v>
      </c>
      <c r="C76" s="6" t="s">
        <v>2237</v>
      </c>
      <c r="D76" s="6" t="s">
        <v>2238</v>
      </c>
      <c r="E76" s="8"/>
      <c r="F76" s="7" t="s">
        <v>1739</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1962</v>
      </c>
      <c r="D77" s="6" t="s">
        <v>1185</v>
      </c>
      <c r="E77" s="8"/>
      <c r="F77" s="7" t="s">
        <v>1739</v>
      </c>
      <c r="G77" s="7" t="str">
        <f t="shared" si="7"/>
        <v>text</v>
      </c>
      <c r="H77" s="26"/>
      <c r="I77" s="10"/>
      <c r="J77" s="11" t="s">
        <v>2398</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milscm_2023_009.sny_202310_backup_mt_shinryo_koi_fuka.reserve4 IS '予備4';</v>
      </c>
    </row>
    <row r="78" spans="1:45" s="25" customFormat="1">
      <c r="A78" s="4"/>
      <c r="B78" s="21">
        <f t="shared" si="2"/>
        <v>66</v>
      </c>
      <c r="C78" s="6" t="s">
        <v>2239</v>
      </c>
      <c r="D78" s="6" t="s">
        <v>2240</v>
      </c>
      <c r="E78" s="8"/>
      <c r="F78" s="7" t="s">
        <v>1739</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2241</v>
      </c>
      <c r="D79" s="6" t="s">
        <v>2242</v>
      </c>
      <c r="E79" s="8"/>
      <c r="F79" s="7" t="s">
        <v>1739</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milscm_2023_009.sny_202310_backup_mt_shinryo_koi_fuka.fungoki_kasan_kubun IS '自動吻合器加算区分';</v>
      </c>
    </row>
    <row r="80" spans="1:45" s="25" customFormat="1">
      <c r="A80" s="4"/>
      <c r="B80" s="21">
        <f t="shared" si="2"/>
        <v>68</v>
      </c>
      <c r="C80" s="6" t="s">
        <v>2243</v>
      </c>
      <c r="D80" s="6" t="s">
        <v>2244</v>
      </c>
      <c r="E80" s="8"/>
      <c r="F80" s="7" t="s">
        <v>1739</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milscm_2023_009.sny_202310_backup_mt_shinryo_koi_fuka.kokuji_shikibetsu_kubun1 IS '告示等識別区分1';</v>
      </c>
    </row>
    <row r="81" spans="1:45" s="25" customFormat="1">
      <c r="A81" s="4"/>
      <c r="B81" s="21">
        <f t="shared" si="2"/>
        <v>69</v>
      </c>
      <c r="C81" s="6" t="s">
        <v>2245</v>
      </c>
      <c r="D81" s="6" t="s">
        <v>2246</v>
      </c>
      <c r="E81" s="8"/>
      <c r="F81" s="7" t="s">
        <v>1739</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2247</v>
      </c>
      <c r="D82" s="6" t="s">
        <v>2248</v>
      </c>
      <c r="E82" s="8"/>
      <c r="F82" s="7" t="s">
        <v>1739</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2249</v>
      </c>
      <c r="D83" s="6" t="s">
        <v>2250</v>
      </c>
      <c r="E83" s="8"/>
      <c r="F83" s="7" t="s">
        <v>1739</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2251</v>
      </c>
      <c r="D84" s="6" t="s">
        <v>2252</v>
      </c>
      <c r="E84" s="8"/>
      <c r="F84" s="7" t="s">
        <v>1739</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2253</v>
      </c>
      <c r="D85" s="6" t="s">
        <v>2254</v>
      </c>
      <c r="E85" s="8"/>
      <c r="F85" s="7" t="s">
        <v>1739</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2255</v>
      </c>
      <c r="D86" s="6" t="s">
        <v>2256</v>
      </c>
      <c r="E86" s="8"/>
      <c r="F86" s="7" t="s">
        <v>1739</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2257</v>
      </c>
      <c r="D87" s="6" t="s">
        <v>2258</v>
      </c>
      <c r="E87" s="8"/>
      <c r="F87" s="7" t="s">
        <v>1739</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2259</v>
      </c>
      <c r="D88" s="6" t="s">
        <v>2260</v>
      </c>
      <c r="E88" s="8"/>
      <c r="F88" s="7" t="s">
        <v>1739</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2261</v>
      </c>
      <c r="D89" s="6" t="s">
        <v>2262</v>
      </c>
      <c r="E89" s="8"/>
      <c r="F89" s="7" t="s">
        <v>1739</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2263</v>
      </c>
      <c r="D90" s="6" t="s">
        <v>2264</v>
      </c>
      <c r="E90" s="8"/>
      <c r="F90" s="7" t="s">
        <v>1739</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2265</v>
      </c>
      <c r="D91" s="6" t="s">
        <v>2266</v>
      </c>
      <c r="E91" s="8"/>
      <c r="F91" s="7" t="s">
        <v>1739</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2267</v>
      </c>
      <c r="D92" s="6" t="s">
        <v>2268</v>
      </c>
      <c r="E92" s="8"/>
      <c r="F92" s="7" t="s">
        <v>1739</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2269</v>
      </c>
      <c r="D93" s="6" t="s">
        <v>2270</v>
      </c>
      <c r="E93" s="8"/>
      <c r="F93" s="7" t="s">
        <v>1739</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milscm_2023_009.sny_202310_backup_mt_shinryo_koi_fuka.facility_kijun_code10 IS '施設基準コード10';</v>
      </c>
    </row>
    <row r="94" spans="1:45" s="25" customFormat="1" ht="31.5">
      <c r="A94" s="4"/>
      <c r="B94" s="21">
        <f t="shared" si="2"/>
        <v>82</v>
      </c>
      <c r="C94" s="6" t="s">
        <v>2271</v>
      </c>
      <c r="D94" s="6" t="s">
        <v>2272</v>
      </c>
      <c r="E94" s="8"/>
      <c r="F94" s="7" t="s">
        <v>1739</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2273</v>
      </c>
      <c r="D95" s="6" t="s">
        <v>2274</v>
      </c>
      <c r="E95" s="8"/>
      <c r="F95" s="7" t="s">
        <v>1739</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2275</v>
      </c>
      <c r="D96" s="6" t="s">
        <v>2276</v>
      </c>
      <c r="E96" s="8"/>
      <c r="F96" s="7" t="s">
        <v>1739</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milscm_2023_009.sny_202310_backup_mt_shinryo_koi_fuka.shika_tekiyo_kubun IS '歯科適用区分';</v>
      </c>
    </row>
    <row r="97" spans="1:45" s="25" customFormat="1">
      <c r="A97" s="4"/>
      <c r="B97" s="21">
        <f t="shared" si="2"/>
        <v>85</v>
      </c>
      <c r="C97" s="6" t="s">
        <v>2277</v>
      </c>
      <c r="D97" s="6" t="s">
        <v>2278</v>
      </c>
      <c r="E97" s="8"/>
      <c r="F97" s="7" t="s">
        <v>1739</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milscm_2023_009.sny_202310_backup_mt_shinryo_koi_fuka.code_table_alphabet IS 'コード表用番号（アルファベット部）';</v>
      </c>
    </row>
    <row r="98" spans="1:45" s="25" customFormat="1" ht="31.5">
      <c r="A98" s="4"/>
      <c r="B98" s="21">
        <f t="shared" si="2"/>
        <v>86</v>
      </c>
      <c r="C98" s="6" t="s">
        <v>2279</v>
      </c>
      <c r="D98" s="6" t="s">
        <v>2280</v>
      </c>
      <c r="E98" s="8"/>
      <c r="F98" s="7" t="s">
        <v>1739</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1969</v>
      </c>
      <c r="D99" s="6" t="s">
        <v>1970</v>
      </c>
      <c r="E99" s="8"/>
      <c r="F99" s="7" t="s">
        <v>1739</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1909</v>
      </c>
      <c r="D100" s="6" t="s">
        <v>1971</v>
      </c>
      <c r="E100" s="8"/>
      <c r="F100" s="7" t="s">
        <v>1739</v>
      </c>
      <c r="G100" s="7" t="str">
        <f t="shared" si="13"/>
        <v>text</v>
      </c>
      <c r="H100" s="26"/>
      <c r="I100" s="10"/>
      <c r="J100" s="11" t="s">
        <v>2399</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2019</v>
      </c>
      <c r="D101" s="6" t="s">
        <v>2281</v>
      </c>
      <c r="E101" s="8"/>
      <c r="F101" s="7" t="s">
        <v>1739</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2282</v>
      </c>
      <c r="D102" s="6" t="s">
        <v>2283</v>
      </c>
      <c r="E102" s="8"/>
      <c r="F102" s="7" t="s">
        <v>1739</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2284</v>
      </c>
      <c r="D103" s="6" t="s">
        <v>2285</v>
      </c>
      <c r="E103" s="8"/>
      <c r="F103" s="7" t="s">
        <v>1739</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2286</v>
      </c>
      <c r="D104" s="6" t="s">
        <v>2287</v>
      </c>
      <c r="E104" s="8"/>
      <c r="F104" s="7" t="s">
        <v>1739</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2288</v>
      </c>
      <c r="D105" s="6" t="s">
        <v>2289</v>
      </c>
      <c r="E105" s="8"/>
      <c r="F105" s="7" t="s">
        <v>1739</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2290</v>
      </c>
      <c r="D106" s="6" t="s">
        <v>2291</v>
      </c>
      <c r="E106" s="8"/>
      <c r="F106" s="7" t="s">
        <v>1739</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2292</v>
      </c>
      <c r="D107" s="6" t="s">
        <v>2293</v>
      </c>
      <c r="E107" s="8"/>
      <c r="F107" s="7" t="s">
        <v>1739</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2294</v>
      </c>
      <c r="D108" s="6" t="s">
        <v>2295</v>
      </c>
      <c r="E108" s="8"/>
      <c r="F108" s="7" t="s">
        <v>1739</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2296</v>
      </c>
      <c r="D109" s="6" t="s">
        <v>2297</v>
      </c>
      <c r="E109" s="8"/>
      <c r="F109" s="7" t="s">
        <v>1739</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milscm_2023_009.sny_202310_backup_mt_shinryo_koi_fuka.kokuji_kanren_no_kubun IS '告示・通知関連番号_区分番号';</v>
      </c>
    </row>
    <row r="110" spans="1:45" s="25" customFormat="1">
      <c r="A110" s="4"/>
      <c r="B110" s="21">
        <f t="shared" si="2"/>
        <v>98</v>
      </c>
      <c r="C110" s="6" t="s">
        <v>2298</v>
      </c>
      <c r="D110" s="6" t="s">
        <v>2299</v>
      </c>
      <c r="E110" s="8"/>
      <c r="F110" s="7" t="s">
        <v>1739</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2300</v>
      </c>
      <c r="D111" s="6" t="s">
        <v>2301</v>
      </c>
      <c r="E111" s="8"/>
      <c r="F111" s="7" t="s">
        <v>1739</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2302</v>
      </c>
      <c r="D112" s="6" t="s">
        <v>2303</v>
      </c>
      <c r="E112" s="8"/>
      <c r="F112" s="7" t="s">
        <v>1739</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2304</v>
      </c>
      <c r="D113" s="6" t="s">
        <v>2305</v>
      </c>
      <c r="E113" s="8"/>
      <c r="F113" s="7" t="s">
        <v>1739</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2306</v>
      </c>
      <c r="D114" s="6" t="s">
        <v>2307</v>
      </c>
      <c r="E114" s="8"/>
      <c r="F114" s="7" t="s">
        <v>1739</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2308</v>
      </c>
      <c r="D115" s="6" t="s">
        <v>2309</v>
      </c>
      <c r="E115" s="8"/>
      <c r="F115" s="7" t="s">
        <v>1739</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2310</v>
      </c>
      <c r="D116" s="6" t="s">
        <v>2311</v>
      </c>
      <c r="E116" s="8"/>
      <c r="F116" s="7" t="s">
        <v>1739</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2312</v>
      </c>
      <c r="D117" s="6" t="s">
        <v>2313</v>
      </c>
      <c r="E117" s="8"/>
      <c r="F117" s="7" t="s">
        <v>1739</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2314</v>
      </c>
      <c r="D118" s="6" t="s">
        <v>2315</v>
      </c>
      <c r="E118" s="8"/>
      <c r="F118" s="7" t="s">
        <v>1739</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2316</v>
      </c>
      <c r="D119" s="6" t="s">
        <v>2317</v>
      </c>
      <c r="E119" s="8"/>
      <c r="F119" s="7" t="s">
        <v>1739</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2318</v>
      </c>
      <c r="D120" s="6" t="s">
        <v>2319</v>
      </c>
      <c r="E120" s="8"/>
      <c r="F120" s="7" t="s">
        <v>1739</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2320</v>
      </c>
      <c r="D121" s="6" t="s">
        <v>2321</v>
      </c>
      <c r="E121" s="8"/>
      <c r="F121" s="7" t="s">
        <v>1739</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2322</v>
      </c>
      <c r="D122" s="6" t="s">
        <v>2323</v>
      </c>
      <c r="E122" s="8"/>
      <c r="F122" s="7" t="s">
        <v>1739</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2324</v>
      </c>
      <c r="D123" s="6" t="s">
        <v>2325</v>
      </c>
      <c r="E123" s="8"/>
      <c r="F123" s="7" t="s">
        <v>1739</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2326</v>
      </c>
      <c r="D124" s="6" t="s">
        <v>2327</v>
      </c>
      <c r="E124" s="8"/>
      <c r="F124" s="7" t="s">
        <v>1739</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2328</v>
      </c>
      <c r="D125" s="6" t="s">
        <v>2329</v>
      </c>
      <c r="E125" s="8"/>
      <c r="F125" s="7" t="s">
        <v>1739</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milscm_2023_009.sny_202310_backup_mt_shinryo_koi_fuka.kihon_kanji_name IS '基本漢字名称';</v>
      </c>
    </row>
    <row r="126" spans="1:45" s="25" customFormat="1">
      <c r="A126" s="4"/>
      <c r="B126" s="21">
        <f t="shared" si="2"/>
        <v>114</v>
      </c>
      <c r="C126" s="6" t="s">
        <v>2330</v>
      </c>
      <c r="D126" s="6" t="s">
        <v>2331</v>
      </c>
      <c r="E126" s="8"/>
      <c r="F126" s="7" t="s">
        <v>1739</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milscm_2023_009.sny_202310_backup_mt_shinryo_koi_fuka.fukubiko_naishikyo_kasan IS '副鼻腔手術用内視鏡加算';</v>
      </c>
    </row>
    <row r="127" spans="1:45" s="25" customFormat="1" ht="31.5">
      <c r="A127" s="4"/>
      <c r="B127" s="21">
        <f t="shared" si="2"/>
        <v>115</v>
      </c>
      <c r="C127" s="6" t="s">
        <v>2332</v>
      </c>
      <c r="D127" s="6" t="s">
        <v>2333</v>
      </c>
      <c r="E127" s="8"/>
      <c r="F127" s="7" t="s">
        <v>1739</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2334</v>
      </c>
      <c r="D128" s="6" t="s">
        <v>2335</v>
      </c>
      <c r="E128" s="8"/>
      <c r="F128" s="7" t="s">
        <v>1739</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milscm_2023_009.sny_202310_backup_mt_shinryo_koi_fuka.long_masui_kasan IS '長時間麻酔管理加算';</v>
      </c>
    </row>
    <row r="129" spans="1:45" s="25" customFormat="1" ht="56.25">
      <c r="A129" s="4"/>
      <c r="B129" s="21">
        <f t="shared" si="2"/>
        <v>117</v>
      </c>
      <c r="C129" s="6" t="s">
        <v>2336</v>
      </c>
      <c r="D129" s="6" t="s">
        <v>2337</v>
      </c>
      <c r="E129" s="8"/>
      <c r="F129" s="7" t="s">
        <v>1739</v>
      </c>
      <c r="G129" s="7" t="str">
        <f t="shared" si="13"/>
        <v>text</v>
      </c>
      <c r="H129" s="26"/>
      <c r="I129" s="10"/>
      <c r="J129" s="11" t="s">
        <v>2400</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2338</v>
      </c>
      <c r="D130" s="6" t="s">
        <v>2339</v>
      </c>
      <c r="E130" s="8"/>
      <c r="F130" s="7" t="s">
        <v>1739</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2340</v>
      </c>
      <c r="D131" s="6" t="s">
        <v>2341</v>
      </c>
      <c r="E131" s="8"/>
      <c r="F131" s="7" t="s">
        <v>1739</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2342</v>
      </c>
      <c r="D132" s="6" t="s">
        <v>2343</v>
      </c>
      <c r="E132" s="8"/>
      <c r="F132" s="7" t="s">
        <v>1739</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2344</v>
      </c>
      <c r="D133" s="6" t="s">
        <v>2345</v>
      </c>
      <c r="E133" s="8"/>
      <c r="F133" s="7" t="s">
        <v>1739</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milscm_2023_009.sny_202310_backup_mt_shinryo_koi_fuka.sogai_kotei_kasan IS '創外固定器加算';</v>
      </c>
    </row>
    <row r="134" spans="1:45" s="25" customFormat="1">
      <c r="A134" s="4"/>
      <c r="B134" s="21">
        <f t="shared" si="2"/>
        <v>122</v>
      </c>
      <c r="C134" s="6" t="s">
        <v>2346</v>
      </c>
      <c r="D134" s="6" t="s">
        <v>2347</v>
      </c>
      <c r="E134" s="8"/>
      <c r="F134" s="7" t="s">
        <v>1739</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2348</v>
      </c>
      <c r="D135" s="6" t="s">
        <v>2349</v>
      </c>
      <c r="E135" s="8"/>
      <c r="F135" s="7" t="s">
        <v>1739</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milscm_2023_009.sny_202310_backup_mt_shinryo_koi_fuka.sashin_jiheisa_kasan IS '左心耳閉鎖術併施加算';</v>
      </c>
    </row>
    <row r="136" spans="1:45" s="25" customFormat="1" ht="31.5">
      <c r="A136" s="4"/>
      <c r="B136" s="21">
        <f t="shared" si="2"/>
        <v>124</v>
      </c>
      <c r="C136" s="6" t="s">
        <v>2350</v>
      </c>
      <c r="D136" s="6" t="s">
        <v>2351</v>
      </c>
      <c r="E136" s="8"/>
      <c r="F136" s="7" t="s">
        <v>1739</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2352</v>
      </c>
      <c r="D137" s="6" t="s">
        <v>2353</v>
      </c>
      <c r="E137" s="8"/>
      <c r="F137" s="7" t="s">
        <v>1739</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milscm_2023_009.sny_202310_backup_mt_shinryo_koi_fuka.jibi_inko_nyuyoji_kasan IS '耳鼻咽喉科乳幼児処置加算';</v>
      </c>
    </row>
    <row r="138" spans="1:45" s="25" customFormat="1" ht="31.5">
      <c r="A138" s="4"/>
      <c r="B138" s="21">
        <f t="shared" si="2"/>
        <v>126</v>
      </c>
      <c r="C138" s="6" t="s">
        <v>2354</v>
      </c>
      <c r="D138" s="6" t="s">
        <v>2355</v>
      </c>
      <c r="E138" s="8"/>
      <c r="F138" s="7" t="s">
        <v>1739</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1.5">
      <c r="A139" s="4"/>
      <c r="B139" s="21">
        <f t="shared" si="2"/>
        <v>127</v>
      </c>
      <c r="C139" s="6" t="s">
        <v>2356</v>
      </c>
      <c r="D139" s="6" t="s">
        <v>2357</v>
      </c>
      <c r="E139" s="8"/>
      <c r="F139" s="7" t="s">
        <v>1739</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2021</v>
      </c>
      <c r="D140" s="6" t="s">
        <v>1190</v>
      </c>
      <c r="E140" s="8"/>
      <c r="F140" s="7" t="s">
        <v>1739</v>
      </c>
      <c r="G140" s="7" t="str">
        <f t="shared" si="13"/>
        <v>text</v>
      </c>
      <c r="H140" s="26"/>
      <c r="I140" s="10"/>
      <c r="J140" s="11" t="s">
        <v>2398</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2022</v>
      </c>
      <c r="D141" s="6" t="s">
        <v>1192</v>
      </c>
      <c r="E141" s="8"/>
      <c r="F141" s="7" t="s">
        <v>1739</v>
      </c>
      <c r="G141" s="7" t="str">
        <f t="shared" si="13"/>
        <v>text</v>
      </c>
      <c r="H141" s="26"/>
      <c r="I141" s="10"/>
      <c r="J141" s="11" t="s">
        <v>2398</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2023</v>
      </c>
      <c r="D142" s="6" t="s">
        <v>1194</v>
      </c>
      <c r="E142" s="8"/>
      <c r="F142" s="7" t="s">
        <v>1739</v>
      </c>
      <c r="G142" s="7" t="str">
        <f t="shared" si="13"/>
        <v>text</v>
      </c>
      <c r="H142" s="26"/>
      <c r="I142" s="10"/>
      <c r="J142" s="11" t="s">
        <v>2398</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2024</v>
      </c>
      <c r="D143" s="6" t="s">
        <v>2025</v>
      </c>
      <c r="E143" s="8"/>
      <c r="F143" s="7" t="s">
        <v>1739</v>
      </c>
      <c r="G143" s="7" t="str">
        <f t="shared" si="13"/>
        <v>text</v>
      </c>
      <c r="H143" s="26"/>
      <c r="I143" s="10"/>
      <c r="J143" s="11" t="s">
        <v>2398</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2358</v>
      </c>
      <c r="D144" s="6" t="s">
        <v>2359</v>
      </c>
      <c r="E144" s="8"/>
      <c r="F144" s="7" t="s">
        <v>1739</v>
      </c>
      <c r="G144" s="7" t="str">
        <f t="shared" si="13"/>
        <v>text</v>
      </c>
      <c r="H144" s="26"/>
      <c r="I144" s="10"/>
      <c r="J144" s="11" t="s">
        <v>2398</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2360</v>
      </c>
      <c r="D145" s="6" t="s">
        <v>2361</v>
      </c>
      <c r="E145" s="8"/>
      <c r="F145" s="7" t="s">
        <v>1739</v>
      </c>
      <c r="G145" s="7" t="str">
        <f t="shared" si="13"/>
        <v>text</v>
      </c>
      <c r="H145" s="26"/>
      <c r="I145" s="10"/>
      <c r="J145" s="11" t="s">
        <v>2398</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2362</v>
      </c>
      <c r="D146" s="6" t="s">
        <v>2363</v>
      </c>
      <c r="E146" s="8"/>
      <c r="F146" s="7" t="s">
        <v>1739</v>
      </c>
      <c r="G146" s="7" t="str">
        <f t="shared" ref="G146:G162" si="19">IF(F146="フラグ","boolean",IF(F146="文字列","text",IF(F146="整数","integer",IF(F146="実数","numeric",""))))</f>
        <v>text</v>
      </c>
      <c r="H146" s="26"/>
      <c r="I146" s="10"/>
      <c r="J146" s="11" t="s">
        <v>2398</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2364</v>
      </c>
      <c r="D147" s="6" t="s">
        <v>2365</v>
      </c>
      <c r="E147" s="8"/>
      <c r="F147" s="7" t="s">
        <v>1739</v>
      </c>
      <c r="G147" s="7" t="str">
        <f t="shared" si="19"/>
        <v>text</v>
      </c>
      <c r="H147" s="26"/>
      <c r="I147" s="10"/>
      <c r="J147" s="11" t="s">
        <v>2398</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2366</v>
      </c>
      <c r="D148" s="6" t="s">
        <v>2367</v>
      </c>
      <c r="E148" s="8"/>
      <c r="F148" s="7" t="s">
        <v>1739</v>
      </c>
      <c r="G148" s="7" t="str">
        <f t="shared" si="19"/>
        <v>text</v>
      </c>
      <c r="H148" s="26"/>
      <c r="I148" s="10"/>
      <c r="J148" s="11" t="s">
        <v>2398</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2368</v>
      </c>
      <c r="D149" s="6" t="s">
        <v>2369</v>
      </c>
      <c r="E149" s="8"/>
      <c r="F149" s="7" t="s">
        <v>1739</v>
      </c>
      <c r="G149" s="7" t="str">
        <f t="shared" si="19"/>
        <v>text</v>
      </c>
      <c r="H149" s="26"/>
      <c r="I149" s="10"/>
      <c r="J149" s="11" t="s">
        <v>2398</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2370</v>
      </c>
      <c r="D150" s="6" t="s">
        <v>2371</v>
      </c>
      <c r="E150" s="8"/>
      <c r="F150" s="7" t="s">
        <v>1739</v>
      </c>
      <c r="G150" s="7" t="str">
        <f t="shared" si="19"/>
        <v>text</v>
      </c>
      <c r="H150" s="26"/>
      <c r="I150" s="10"/>
      <c r="J150" s="11" t="s">
        <v>2398</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2372</v>
      </c>
      <c r="D151" s="6" t="s">
        <v>2373</v>
      </c>
      <c r="E151" s="8"/>
      <c r="F151" s="7" t="s">
        <v>1739</v>
      </c>
      <c r="G151" s="7" t="str">
        <f t="shared" si="19"/>
        <v>text</v>
      </c>
      <c r="H151" s="26"/>
      <c r="I151" s="10"/>
      <c r="J151" s="11" t="s">
        <v>2398</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2374</v>
      </c>
      <c r="D152" s="6" t="s">
        <v>2375</v>
      </c>
      <c r="E152" s="8"/>
      <c r="F152" s="7" t="s">
        <v>1739</v>
      </c>
      <c r="G152" s="7" t="str">
        <f t="shared" si="19"/>
        <v>text</v>
      </c>
      <c r="H152" s="26"/>
      <c r="I152" s="10"/>
      <c r="J152" s="11" t="s">
        <v>2398</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2376</v>
      </c>
      <c r="D153" s="6" t="s">
        <v>2377</v>
      </c>
      <c r="E153" s="8"/>
      <c r="F153" s="7" t="s">
        <v>1739</v>
      </c>
      <c r="G153" s="7" t="str">
        <f t="shared" si="19"/>
        <v>text</v>
      </c>
      <c r="H153" s="26"/>
      <c r="I153" s="10"/>
      <c r="J153" s="11" t="s">
        <v>2398</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2378</v>
      </c>
      <c r="D154" s="6" t="s">
        <v>2379</v>
      </c>
      <c r="E154" s="8"/>
      <c r="F154" s="7" t="s">
        <v>1739</v>
      </c>
      <c r="G154" s="7" t="str">
        <f t="shared" si="19"/>
        <v>text</v>
      </c>
      <c r="H154" s="26"/>
      <c r="I154" s="10"/>
      <c r="J154" s="11" t="s">
        <v>2398</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2380</v>
      </c>
      <c r="D155" s="6" t="s">
        <v>2381</v>
      </c>
      <c r="E155" s="8"/>
      <c r="F155" s="7" t="s">
        <v>1739</v>
      </c>
      <c r="G155" s="7" t="str">
        <f t="shared" si="19"/>
        <v>text</v>
      </c>
      <c r="H155" s="26"/>
      <c r="I155" s="10"/>
      <c r="J155" s="11" t="s">
        <v>2398</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2382</v>
      </c>
      <c r="D156" s="6" t="s">
        <v>2383</v>
      </c>
      <c r="E156" s="8"/>
      <c r="F156" s="7" t="s">
        <v>1739</v>
      </c>
      <c r="G156" s="7" t="str">
        <f t="shared" si="19"/>
        <v>text</v>
      </c>
      <c r="H156" s="26"/>
      <c r="I156" s="10"/>
      <c r="J156" s="11" t="s">
        <v>2398</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2384</v>
      </c>
      <c r="D157" s="6" t="s">
        <v>2385</v>
      </c>
      <c r="E157" s="8"/>
      <c r="F157" s="7" t="s">
        <v>1739</v>
      </c>
      <c r="G157" s="7" t="str">
        <f t="shared" si="19"/>
        <v>text</v>
      </c>
      <c r="H157" s="26"/>
      <c r="I157" s="10"/>
      <c r="J157" s="11" t="s">
        <v>2398</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2386</v>
      </c>
      <c r="D158" s="6" t="s">
        <v>2387</v>
      </c>
      <c r="E158" s="8"/>
      <c r="F158" s="7" t="s">
        <v>1739</v>
      </c>
      <c r="G158" s="7" t="str">
        <f t="shared" si="19"/>
        <v>text</v>
      </c>
      <c r="H158" s="26"/>
      <c r="I158" s="10"/>
      <c r="J158" s="11" t="s">
        <v>2398</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2388</v>
      </c>
      <c r="D159" s="6" t="s">
        <v>2389</v>
      </c>
      <c r="E159" s="8"/>
      <c r="F159" s="7" t="s">
        <v>1739</v>
      </c>
      <c r="G159" s="7" t="str">
        <f t="shared" si="19"/>
        <v>text</v>
      </c>
      <c r="H159" s="26"/>
      <c r="I159" s="10"/>
      <c r="J159" s="11" t="s">
        <v>2398</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2390</v>
      </c>
      <c r="D160" s="6" t="s">
        <v>2391</v>
      </c>
      <c r="E160" s="8"/>
      <c r="F160" s="7" t="s">
        <v>1739</v>
      </c>
      <c r="G160" s="7" t="str">
        <f t="shared" si="19"/>
        <v>text</v>
      </c>
      <c r="H160" s="26"/>
      <c r="I160" s="10"/>
      <c r="J160" s="11" t="s">
        <v>2398</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2392</v>
      </c>
      <c r="D161" s="6" t="s">
        <v>2393</v>
      </c>
      <c r="E161" s="8"/>
      <c r="F161" s="7" t="s">
        <v>1739</v>
      </c>
      <c r="G161" s="7" t="str">
        <f t="shared" si="19"/>
        <v>text</v>
      </c>
      <c r="H161" s="26"/>
      <c r="I161" s="10"/>
      <c r="J161" s="11" t="s">
        <v>2398</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2394</v>
      </c>
      <c r="D162" s="6" t="s">
        <v>2395</v>
      </c>
      <c r="E162" s="8"/>
      <c r="F162" s="7" t="s">
        <v>1739</v>
      </c>
      <c r="G162" s="7" t="str">
        <f t="shared" si="19"/>
        <v>text</v>
      </c>
      <c r="H162" s="26"/>
      <c r="I162" s="10"/>
      <c r="J162" s="11" t="s">
        <v>2398</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milscm_2023_009.sny_202310_backup_mt_shinryo_koi_fuka.reserve27 IS '予備27';</v>
      </c>
    </row>
    <row r="163" spans="1:52" s="25" customFormat="1" ht="19.5" thickBot="1">
      <c r="A163" s="4"/>
      <c r="B163" s="27">
        <f>ROW()-12</f>
        <v>151</v>
      </c>
      <c r="C163" s="57" t="s">
        <v>2050</v>
      </c>
      <c r="D163" s="57" t="s">
        <v>1883</v>
      </c>
      <c r="E163" s="56" t="s">
        <v>127</v>
      </c>
      <c r="F163" s="56" t="s">
        <v>1739</v>
      </c>
      <c r="G163" s="56" t="str">
        <f t="shared" si="3"/>
        <v>text</v>
      </c>
      <c r="H163" s="59"/>
      <c r="I163" s="60" t="s">
        <v>127</v>
      </c>
      <c r="J163" s="64" t="s">
        <v>2401</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milscm_2023_009.sny_202310_backup_mt_shinryo_koi_fuka.update_ymd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ENT_01_A3-16</v>
      </c>
      <c r="E6" s="240"/>
      <c r="F6" s="240"/>
      <c r="G6" s="240"/>
      <c r="H6" s="240"/>
      <c r="I6" s="240"/>
      <c r="J6" s="241"/>
    </row>
    <row r="7" spans="1:45">
      <c r="B7" s="229" t="s">
        <v>115</v>
      </c>
      <c r="C7" s="230"/>
      <c r="D7" s="231" t="s">
        <v>2402</v>
      </c>
      <c r="E7" s="232"/>
      <c r="F7" s="232"/>
      <c r="G7" s="232"/>
      <c r="H7" s="232"/>
      <c r="I7" s="232"/>
      <c r="J7" s="233"/>
    </row>
    <row r="8" spans="1:45">
      <c r="B8" s="229" t="s">
        <v>116</v>
      </c>
      <c r="C8" s="230"/>
      <c r="D8" s="231" t="str">
        <f>エンティティ一覧!AE2&amp;"_"&amp;D5&amp;"_mt_shori_shisetsu"</f>
        <v>sny_202310_backup_mt_shori_shisetsu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milscm_2023_009.sny_202310_backup_mt_shori_shisetsu;</v>
      </c>
      <c r="O10" s="76"/>
      <c r="P10" s="76"/>
      <c r="Q10" s="76"/>
      <c r="R10" s="76"/>
      <c r="S10" s="76"/>
      <c r="T10" s="76"/>
      <c r="AJ10" s="76" t="str">
        <f>"ALTER TABLE ONLY "&amp;エンティティ一覧!$O$2&amp;"."&amp;D$8</f>
        <v>ALTER TABLE ONLY milscm_2023_009.sny_202310_backup_mt_shori_shisetsu</v>
      </c>
      <c r="AS10" s="76" t="str">
        <f>"ALTER TABLE "&amp;エンティティ一覧!$O$2&amp;"."&amp;D$8&amp;" OWNER TO pgmisgrp1;"</f>
        <v>ALTER TABLE milscm_2023_009.sny_202310_backup_mt_shori_shisetsu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milscm_2023_009.sny_202310_backup_mt_shori_shisetsu</v>
      </c>
      <c r="O11" s="76"/>
      <c r="P11" s="76"/>
      <c r="Q11" s="76"/>
      <c r="R11" s="76"/>
      <c r="S11" s="76"/>
      <c r="T11" s="76"/>
      <c r="AJ11" s="76" t="str">
        <f>"ADD CONSTRAINT "&amp;D$8&amp;"_pkey PRIMARY KEY"</f>
        <v>ADD CONSTRAINT sny_202310_backup_mt_shori_shisetsu_pkey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2403</v>
      </c>
      <c r="D13" s="6" t="s">
        <v>128</v>
      </c>
      <c r="E13" s="8" t="s">
        <v>127</v>
      </c>
      <c r="F13" s="8" t="s">
        <v>1739</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2404</v>
      </c>
      <c r="D14" s="6" t="s">
        <v>2405</v>
      </c>
      <c r="E14" s="8"/>
      <c r="F14" s="7" t="s">
        <v>865</v>
      </c>
      <c r="G14" s="7" t="str">
        <f t="shared" ref="G14:G22" si="3">IF(F14="フラグ","boolean",IF(F14="文字列","text",IF(F14="整数","integer",IF(F14="実数","numeric",""))))</f>
        <v>text</v>
      </c>
      <c r="H14" s="26"/>
      <c r="I14" s="10" t="s">
        <v>127</v>
      </c>
      <c r="J14" s="11" t="s">
        <v>2423</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2406</v>
      </c>
      <c r="D15" s="6" t="s">
        <v>2407</v>
      </c>
      <c r="E15" s="8"/>
      <c r="F15" s="7" t="s">
        <v>1739</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milscm_2023_009.sny_202310_backup_mt_shori_shisetsu.facility_name IS '施設名';</v>
      </c>
    </row>
    <row r="16" spans="1:45" s="25" customFormat="1" ht="37.5">
      <c r="A16" s="4"/>
      <c r="B16" s="21">
        <f t="shared" si="2"/>
        <v>4</v>
      </c>
      <c r="C16" s="6" t="s">
        <v>2408</v>
      </c>
      <c r="D16" s="6" t="s">
        <v>2409</v>
      </c>
      <c r="E16" s="8"/>
      <c r="F16" s="7" t="s">
        <v>1739</v>
      </c>
      <c r="G16" s="7" t="str">
        <f t="shared" si="3"/>
        <v>text</v>
      </c>
      <c r="H16" s="26"/>
      <c r="I16" s="10"/>
      <c r="J16" s="11" t="s">
        <v>2424</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2410</v>
      </c>
      <c r="D17" s="6" t="s">
        <v>2411</v>
      </c>
      <c r="E17" s="8"/>
      <c r="F17" s="7" t="s">
        <v>1739</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milscm_2023_009.sny_202310_backup_mt_shori_shisetsu.group_id_edit_kubun IS '紐付けID編集区分';</v>
      </c>
    </row>
    <row r="18" spans="1:52" s="25" customFormat="1" ht="37.5">
      <c r="A18" s="4"/>
      <c r="B18" s="21">
        <f t="shared" si="2"/>
        <v>6</v>
      </c>
      <c r="C18" s="6" t="s">
        <v>2412</v>
      </c>
      <c r="D18" s="6" t="s">
        <v>2413</v>
      </c>
      <c r="E18" s="8"/>
      <c r="F18" s="7" t="s">
        <v>865</v>
      </c>
      <c r="G18" s="7" t="str">
        <f t="shared" ref="G18:G20" si="7">IF(F18="フラグ","boolean",IF(F18="文字列","text",IF(F18="整数","integer",IF(F18="実数","numeric",""))))</f>
        <v>text</v>
      </c>
      <c r="H18" s="26"/>
      <c r="I18" s="10"/>
      <c r="J18" s="11" t="s">
        <v>2425</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milscm_2023_009.sny_202310_backup_mt_shori_shisetsu.facility_contract_start IS '施設データ提供開始日';</v>
      </c>
    </row>
    <row r="19" spans="1:52" s="25" customFormat="1" ht="56.25">
      <c r="A19" s="4"/>
      <c r="B19" s="21">
        <f t="shared" si="2"/>
        <v>7</v>
      </c>
      <c r="C19" s="6" t="s">
        <v>2414</v>
      </c>
      <c r="D19" s="6" t="s">
        <v>2415</v>
      </c>
      <c r="E19" s="8"/>
      <c r="F19" s="7" t="s">
        <v>865</v>
      </c>
      <c r="G19" s="7" t="str">
        <f t="shared" si="7"/>
        <v>text</v>
      </c>
      <c r="H19" s="26"/>
      <c r="I19" s="10"/>
      <c r="J19" s="11" t="s">
        <v>2426</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2416</v>
      </c>
      <c r="D20" s="6" t="s">
        <v>2417</v>
      </c>
      <c r="E20" s="8"/>
      <c r="F20" s="7" t="s">
        <v>1849</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milscm_2023_009.sny_202310_backup_mt_shori_shisetsu.size IS '施設規模';</v>
      </c>
    </row>
    <row r="21" spans="1:52" s="25" customFormat="1" ht="37.5">
      <c r="A21" s="4"/>
      <c r="B21" s="21">
        <f t="shared" si="2"/>
        <v>9</v>
      </c>
      <c r="C21" s="6" t="s">
        <v>2418</v>
      </c>
      <c r="D21" s="6" t="s">
        <v>2419</v>
      </c>
      <c r="E21" s="8"/>
      <c r="F21" s="7" t="s">
        <v>2420</v>
      </c>
      <c r="G21" s="7" t="str">
        <f t="shared" si="3"/>
        <v>boolean</v>
      </c>
      <c r="H21" s="26" t="s">
        <v>2427</v>
      </c>
      <c r="I21" s="10" t="s">
        <v>127</v>
      </c>
      <c r="J21" s="11" t="s">
        <v>2428</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milscm_2023_009.sny_202310_backup_mt_shori_shisetsu.shori_f IS 'データ取得対象フラグ';</v>
      </c>
    </row>
    <row r="22" spans="1:52" s="25" customFormat="1" ht="38.25" thickBot="1">
      <c r="A22" s="4"/>
      <c r="B22" s="27">
        <f>ROW()-12</f>
        <v>10</v>
      </c>
      <c r="C22" s="57" t="s">
        <v>2421</v>
      </c>
      <c r="D22" s="57" t="s">
        <v>2422</v>
      </c>
      <c r="E22" s="56"/>
      <c r="F22" s="56" t="s">
        <v>2420</v>
      </c>
      <c r="G22" s="56" t="str">
        <f t="shared" si="3"/>
        <v>boolean</v>
      </c>
      <c r="H22" s="59" t="s">
        <v>2429</v>
      </c>
      <c r="I22" s="60" t="s">
        <v>127</v>
      </c>
      <c r="J22" s="64" t="s">
        <v>2430</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ENT_01_A3-17</v>
      </c>
      <c r="E6" s="240"/>
      <c r="F6" s="240"/>
      <c r="G6" s="240"/>
      <c r="H6" s="240"/>
      <c r="I6" s="240"/>
      <c r="J6" s="241"/>
    </row>
    <row r="7" spans="1:45">
      <c r="B7" s="229" t="s">
        <v>115</v>
      </c>
      <c r="C7" s="230"/>
      <c r="D7" s="231" t="s">
        <v>2431</v>
      </c>
      <c r="E7" s="232"/>
      <c r="F7" s="232"/>
      <c r="G7" s="232"/>
      <c r="H7" s="232"/>
      <c r="I7" s="232"/>
      <c r="J7" s="233"/>
    </row>
    <row r="8" spans="1:45">
      <c r="B8" s="229" t="s">
        <v>116</v>
      </c>
      <c r="C8" s="230"/>
      <c r="D8" s="231" t="str">
        <f>エンティティ一覧!AE2&amp;"_"&amp;D5&amp;"_mt_shori_shisetsu_manage"</f>
        <v>sny_202310_backup_mt_shori_shisetsu_manage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milscm_2023_009.sny_202310_backup_mt_shori_shisetsu_manage;</v>
      </c>
      <c r="O10" s="76"/>
      <c r="P10" s="76"/>
      <c r="Q10" s="76"/>
      <c r="R10" s="76"/>
      <c r="S10" s="76"/>
      <c r="T10" s="76"/>
      <c r="AJ10" s="76" t="str">
        <f>"ALTER TABLE ONLY "&amp;エンティティ一覧!$O$2&amp;"."&amp;D$8</f>
        <v>ALTER TABLE ONLY milscm_2023_009.sny_202310_backup_mt_shori_shisetsu_manage</v>
      </c>
      <c r="AS10" s="76" t="str">
        <f>"ALTER TABLE "&amp;エンティティ一覧!$O$2&amp;"."&amp;D$8&amp;" OWNER TO pgmisgrp1;"</f>
        <v>ALTER TABLE milscm_2023_009.sny_202310_backup_mt_shori_shisetsu_manage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milscm_2023_009.sny_202310_backup_mt_shori_shisetsu_manage</v>
      </c>
      <c r="O11" s="76"/>
      <c r="P11" s="76"/>
      <c r="Q11" s="76"/>
      <c r="R11" s="76"/>
      <c r="S11" s="76"/>
      <c r="T11" s="76"/>
      <c r="AJ11" s="76" t="str">
        <f>"ADD CONSTRAINT "&amp;D$8&amp;"_pkey PRIMARY KEY"</f>
        <v>ADD CONSTRAINT sny_202310_backup_mt_shori_shisetsu_manage_pkey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2403</v>
      </c>
      <c r="D13" s="6" t="s">
        <v>128</v>
      </c>
      <c r="E13" s="8" t="s">
        <v>127</v>
      </c>
      <c r="F13" s="8" t="s">
        <v>1739</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milscm_2023_009.sny_202310_backup_mt_shori_shisetsu_manage.facility_id IS '施設ID';</v>
      </c>
    </row>
    <row r="14" spans="1:45" s="25" customFormat="1" ht="37.5">
      <c r="A14" s="4"/>
      <c r="B14" s="21">
        <f t="shared" ref="B14:B17" si="2">ROW()-12</f>
        <v>2</v>
      </c>
      <c r="C14" s="6" t="s">
        <v>2412</v>
      </c>
      <c r="D14" s="6" t="s">
        <v>2413</v>
      </c>
      <c r="E14" s="8"/>
      <c r="F14" s="7" t="s">
        <v>865</v>
      </c>
      <c r="G14" s="7" t="str">
        <f t="shared" ref="G14:G18" si="3">IF(F14="フラグ","boolean",IF(F14="文字列","text",IF(F14="整数","integer",IF(F14="実数","numeric",""))))</f>
        <v>text</v>
      </c>
      <c r="H14" s="26"/>
      <c r="I14" s="10"/>
      <c r="J14" s="11" t="s">
        <v>2425</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milscm_2023_009.sny_202310_backup_mt_shori_shisetsu_manage.facility_contract_start IS '施設データ提供開始日';</v>
      </c>
    </row>
    <row r="15" spans="1:45" s="25" customFormat="1" ht="56.25">
      <c r="A15" s="4"/>
      <c r="B15" s="21">
        <f t="shared" si="2"/>
        <v>3</v>
      </c>
      <c r="C15" s="6" t="s">
        <v>2414</v>
      </c>
      <c r="D15" s="6" t="s">
        <v>2415</v>
      </c>
      <c r="E15" s="8"/>
      <c r="F15" s="7" t="s">
        <v>865</v>
      </c>
      <c r="G15" s="7" t="str">
        <f t="shared" si="3"/>
        <v>text</v>
      </c>
      <c r="H15" s="26"/>
      <c r="I15" s="10"/>
      <c r="J15" s="11" t="s">
        <v>2426</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2416</v>
      </c>
      <c r="D16" s="6" t="s">
        <v>2417</v>
      </c>
      <c r="E16" s="8"/>
      <c r="F16" s="7" t="s">
        <v>1849</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milscm_2023_009.sny_202310_backup_mt_shori_shisetsu_manage.size IS '施設規模';</v>
      </c>
    </row>
    <row r="17" spans="1:52" s="25" customFormat="1" ht="37.5">
      <c r="A17" s="4"/>
      <c r="B17" s="21">
        <f t="shared" si="2"/>
        <v>5</v>
      </c>
      <c r="C17" s="6" t="s">
        <v>2418</v>
      </c>
      <c r="D17" s="6" t="s">
        <v>2419</v>
      </c>
      <c r="E17" s="8"/>
      <c r="F17" s="7" t="s">
        <v>2420</v>
      </c>
      <c r="G17" s="7" t="str">
        <f t="shared" si="3"/>
        <v>boolean</v>
      </c>
      <c r="H17" s="26" t="s">
        <v>2427</v>
      </c>
      <c r="I17" s="10" t="s">
        <v>127</v>
      </c>
      <c r="J17" s="11" t="s">
        <v>2428</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milscm_2023_009.sny_202310_backup_mt_shori_shisetsu_manage.shori_f IS 'データ取得対象フラグ';</v>
      </c>
    </row>
    <row r="18" spans="1:52" s="25" customFormat="1" ht="38.25" thickBot="1">
      <c r="A18" s="4"/>
      <c r="B18" s="27">
        <f>ROW()-12</f>
        <v>6</v>
      </c>
      <c r="C18" s="57" t="s">
        <v>2421</v>
      </c>
      <c r="D18" s="57" t="s">
        <v>2422</v>
      </c>
      <c r="E18" s="56"/>
      <c r="F18" s="56" t="s">
        <v>2420</v>
      </c>
      <c r="G18" s="56" t="str">
        <f t="shared" si="3"/>
        <v>boolean</v>
      </c>
      <c r="H18" s="59" t="s">
        <v>2429</v>
      </c>
      <c r="I18" s="60" t="s">
        <v>127</v>
      </c>
      <c r="J18" s="64" t="s">
        <v>2430</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ENT_01_A3-18</v>
      </c>
      <c r="E6" s="240"/>
      <c r="F6" s="240"/>
      <c r="G6" s="240"/>
      <c r="H6" s="240"/>
      <c r="I6" s="240"/>
      <c r="J6" s="241"/>
    </row>
    <row r="7" spans="1:45">
      <c r="B7" s="229" t="s">
        <v>115</v>
      </c>
      <c r="C7" s="230"/>
      <c r="D7" s="231" t="s">
        <v>3286</v>
      </c>
      <c r="E7" s="232"/>
      <c r="F7" s="232"/>
      <c r="G7" s="232"/>
      <c r="H7" s="232"/>
      <c r="I7" s="232"/>
      <c r="J7" s="233"/>
    </row>
    <row r="8" spans="1:45">
      <c r="B8" s="229" t="s">
        <v>116</v>
      </c>
      <c r="C8" s="230"/>
      <c r="D8" s="231" t="str">
        <f>エンティティ一覧!AE2&amp;"_"&amp;D5&amp;"_mt_iyakuhin"</f>
        <v>sny_202310_backup_mt_iyakuhin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v>
      </c>
      <c r="O10" s="76"/>
      <c r="P10" s="76"/>
      <c r="Q10" s="76"/>
      <c r="R10" s="76"/>
      <c r="S10" s="76"/>
      <c r="T10" s="76"/>
      <c r="AJ10" s="76" t="str">
        <f>"ALTER TABLE ONLY "&amp;エンティティ一覧!$O$2&amp;"."&amp;D$8</f>
        <v>ALTER TABLE ONLY milscm_2023_009.sny_202310_backup_mt_iyakuhin</v>
      </c>
      <c r="AS10" s="76" t="str">
        <f>"ALTER TABLE "&amp;エンティティ一覧!$O$2&amp;"."&amp;D$8&amp;" OWNER TO pgmisgrp1;"</f>
        <v>ALTER TABLE milscm_2023_009.sny_202310_backup_mt_iyakuhin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v>
      </c>
      <c r="O11" s="76"/>
      <c r="P11" s="76"/>
      <c r="Q11" s="76"/>
      <c r="R11" s="76"/>
      <c r="S11" s="76"/>
      <c r="T11" s="76"/>
      <c r="AJ11" s="76" t="str">
        <f>"ADD CONSTRAINT "&amp;D$8&amp;"_pkey PRIMARY KEY"</f>
        <v>ADD CONSTRAINT sny_202310_backup_mt_iyakuhin_pkey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 IS 'バックアップ_医薬品マスタ';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3289</v>
      </c>
      <c r="D14" s="6" t="s">
        <v>2049</v>
      </c>
      <c r="E14" s="8" t="s">
        <v>127</v>
      </c>
      <c r="F14" s="7" t="s">
        <v>317</v>
      </c>
      <c r="G14" s="7" t="str">
        <f t="shared" ref="G14:G34" si="3">IF(F14="フラグ","boolean",IF(F14="文字列","text",IF(F14="整数","integer",IF(F14="実数","numeric",""))))</f>
        <v>text</v>
      </c>
      <c r="H14" s="26"/>
      <c r="I14" s="10" t="s">
        <v>127</v>
      </c>
      <c r="J14" s="11" t="s">
        <v>3314</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2554</v>
      </c>
      <c r="D16" s="6" t="s">
        <v>3290</v>
      </c>
      <c r="E16" s="8"/>
      <c r="F16" s="7" t="s">
        <v>317</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2556</v>
      </c>
      <c r="D17" s="6" t="s">
        <v>3291</v>
      </c>
      <c r="E17" s="8"/>
      <c r="F17" s="7" t="s">
        <v>317</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2558</v>
      </c>
      <c r="D18" s="6" t="s">
        <v>3292</v>
      </c>
      <c r="E18" s="8"/>
      <c r="F18" s="7" t="s">
        <v>317</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2560</v>
      </c>
      <c r="D19" s="6" t="s">
        <v>3293</v>
      </c>
      <c r="E19" s="8"/>
      <c r="F19" s="7" t="s">
        <v>317</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2562</v>
      </c>
      <c r="D20" s="6" t="s">
        <v>3294</v>
      </c>
      <c r="E20" s="8"/>
      <c r="F20" s="7" t="s">
        <v>317</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2564</v>
      </c>
      <c r="D21" s="6" t="s">
        <v>3295</v>
      </c>
      <c r="E21" s="8"/>
      <c r="F21" s="7" t="s">
        <v>317</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3296</v>
      </c>
      <c r="D22" s="6" t="s">
        <v>2116</v>
      </c>
      <c r="E22" s="8"/>
      <c r="F22" s="7" t="s">
        <v>317</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2566</v>
      </c>
      <c r="D23" s="6" t="s">
        <v>2567</v>
      </c>
      <c r="E23" s="8"/>
      <c r="F23" s="7" t="s">
        <v>317</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2584</v>
      </c>
      <c r="D24" s="6" t="s">
        <v>3297</v>
      </c>
      <c r="E24" s="8"/>
      <c r="F24" s="7" t="s">
        <v>317</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3298</v>
      </c>
      <c r="D25" s="6" t="s">
        <v>3299</v>
      </c>
      <c r="E25" s="8"/>
      <c r="F25" s="7" t="s">
        <v>317</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2550</v>
      </c>
      <c r="D26" s="6" t="s">
        <v>3300</v>
      </c>
      <c r="E26" s="8"/>
      <c r="F26" s="7" t="s">
        <v>317</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milscm_2023_009.sny_202310_backup_mt_iyakuhin.iyakuhin_brand_code IS '医薬品ブランドコード';</v>
      </c>
    </row>
    <row r="27" spans="1:45" s="25" customFormat="1" ht="31.5">
      <c r="A27" s="4"/>
      <c r="B27" s="21">
        <f t="shared" si="2"/>
        <v>15</v>
      </c>
      <c r="C27" s="6" t="s">
        <v>2552</v>
      </c>
      <c r="D27" s="6" t="s">
        <v>3301</v>
      </c>
      <c r="E27" s="8"/>
      <c r="F27" s="7" t="s">
        <v>317</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2586</v>
      </c>
      <c r="D28" s="6" t="s">
        <v>2587</v>
      </c>
      <c r="E28" s="8"/>
      <c r="F28" s="7" t="s">
        <v>317</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3302</v>
      </c>
      <c r="D29" s="6" t="s">
        <v>3303</v>
      </c>
      <c r="E29" s="8"/>
      <c r="F29" s="7" t="s">
        <v>317</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3304</v>
      </c>
      <c r="D30" s="6" t="s">
        <v>3305</v>
      </c>
      <c r="E30" s="8"/>
      <c r="F30" s="7" t="s">
        <v>317</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3306</v>
      </c>
      <c r="D31" s="6" t="s">
        <v>3307</v>
      </c>
      <c r="E31" s="8"/>
      <c r="F31" s="7" t="s">
        <v>317</v>
      </c>
      <c r="G31" s="7" t="str">
        <f t="shared" si="13"/>
        <v>text</v>
      </c>
      <c r="H31" s="26"/>
      <c r="I31" s="10"/>
      <c r="J31" s="11" t="s">
        <v>3315</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milscm_2023_009.sny_202310_backup_mt_iyakuhin.ikosaki IS '移行先';</v>
      </c>
    </row>
    <row r="32" spans="1:45" s="25" customFormat="1">
      <c r="A32" s="4"/>
      <c r="B32" s="21">
        <f t="shared" si="2"/>
        <v>20</v>
      </c>
      <c r="C32" s="6" t="s">
        <v>3308</v>
      </c>
      <c r="D32" s="6" t="s">
        <v>3309</v>
      </c>
      <c r="E32" s="8"/>
      <c r="F32" s="7" t="s">
        <v>317</v>
      </c>
      <c r="G32" s="7" t="str">
        <f t="shared" si="13"/>
        <v>text</v>
      </c>
      <c r="H32" s="26"/>
      <c r="I32" s="10" t="s">
        <v>127</v>
      </c>
      <c r="J32" s="11" t="s">
        <v>3316</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milscm_2023_009.sny_202310_backup_mt_iyakuhin.nen IS '年';</v>
      </c>
    </row>
    <row r="33" spans="1:52" s="25" customFormat="1">
      <c r="A33" s="4"/>
      <c r="B33" s="21">
        <f t="shared" si="2"/>
        <v>21</v>
      </c>
      <c r="C33" s="6" t="s">
        <v>3310</v>
      </c>
      <c r="D33" s="6" t="s">
        <v>3311</v>
      </c>
      <c r="E33" s="8"/>
      <c r="F33" s="7" t="s">
        <v>317</v>
      </c>
      <c r="G33" s="7" t="str">
        <f t="shared" ref="G33" si="19">IF(F33="フラグ","boolean",IF(F33="文字列","text",IF(F33="整数","integer",IF(F33="実数","numeric",""))))</f>
        <v>text</v>
      </c>
      <c r="H33" s="26"/>
      <c r="I33" s="10" t="s">
        <v>127</v>
      </c>
      <c r="J33" s="11" t="s">
        <v>3317</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milscm_2023_009.sny_202310_backup_mt_iyakuhin.nengetsu IS '年月';</v>
      </c>
    </row>
    <row r="34" spans="1:52" s="25" customFormat="1" ht="19.5" thickBot="1">
      <c r="A34" s="4"/>
      <c r="B34" s="27">
        <f>ROW()-12</f>
        <v>22</v>
      </c>
      <c r="C34" s="57" t="s">
        <v>3312</v>
      </c>
      <c r="D34" s="57" t="s">
        <v>1883</v>
      </c>
      <c r="E34" s="56"/>
      <c r="F34" s="56" t="s">
        <v>317</v>
      </c>
      <c r="G34" s="56" t="str">
        <f t="shared" si="3"/>
        <v>text</v>
      </c>
      <c r="H34" s="59"/>
      <c r="I34" s="60" t="s">
        <v>127</v>
      </c>
      <c r="J34" s="64" t="s">
        <v>2401</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ENT_01_A3-19</v>
      </c>
      <c r="E6" s="240"/>
      <c r="F6" s="240"/>
      <c r="G6" s="240"/>
      <c r="H6" s="240"/>
      <c r="I6" s="240"/>
      <c r="J6" s="241"/>
    </row>
    <row r="7" spans="1:45">
      <c r="B7" s="229" t="s">
        <v>115</v>
      </c>
      <c r="C7" s="230"/>
      <c r="D7" s="231" t="s">
        <v>3318</v>
      </c>
      <c r="E7" s="232"/>
      <c r="F7" s="232"/>
      <c r="G7" s="232"/>
      <c r="H7" s="232"/>
      <c r="I7" s="232"/>
      <c r="J7" s="233"/>
    </row>
    <row r="8" spans="1:45">
      <c r="B8" s="229" t="s">
        <v>116</v>
      </c>
      <c r="C8" s="230"/>
      <c r="D8" s="231" t="str">
        <f>エンティティ一覧!AE2&amp;"_"&amp;D5&amp;"_mt_iyakuhin_brand"</f>
        <v>sny_202310_backup_mt_iyakuhin_brand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milscm_2023_009.sny_202310_backup_mt_iyakuhin_brand;</v>
      </c>
      <c r="O10" s="76"/>
      <c r="P10" s="76"/>
      <c r="Q10" s="76"/>
      <c r="R10" s="76"/>
      <c r="S10" s="76"/>
      <c r="T10" s="76"/>
      <c r="AJ10" s="76" t="str">
        <f>"ALTER TABLE ONLY "&amp;エンティティ一覧!$O$2&amp;"."&amp;D$8</f>
        <v>ALTER TABLE ONLY milscm_2023_009.sny_202310_backup_mt_iyakuhin_brand</v>
      </c>
      <c r="AS10" s="76" t="str">
        <f>"ALTER TABLE "&amp;エンティティ一覧!$O$2&amp;"."&amp;D$8&amp;" OWNER TO pgmisgrp1;"</f>
        <v>ALTER TABLE milscm_2023_009.sny_202310_backup_mt_iyakuhin_brand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milscm_2023_009.sny_202310_backup_mt_iyakuhin_brand</v>
      </c>
      <c r="O11" s="76"/>
      <c r="P11" s="76"/>
      <c r="Q11" s="76"/>
      <c r="R11" s="76"/>
      <c r="S11" s="76"/>
      <c r="T11" s="76"/>
      <c r="AJ11" s="76" t="str">
        <f>"ADD CONSTRAINT "&amp;D$8&amp;"_pkey PRIMARY KEY"</f>
        <v>ADD CONSTRAINT sny_202310_backup_mt_iyakuhin_brand_pkey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2550</v>
      </c>
      <c r="D15" s="6" t="s">
        <v>3300</v>
      </c>
      <c r="E15" s="8" t="s">
        <v>127</v>
      </c>
      <c r="F15" s="7" t="s">
        <v>317</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2568</v>
      </c>
      <c r="D16" s="6" t="s">
        <v>3319</v>
      </c>
      <c r="E16" s="8"/>
      <c r="F16" s="7" t="s">
        <v>317</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milscm_2023_009.sny_202310_backup_mt_iyakuhin_brand.iyakuhin_brand_name IS '医薬品ブランド名';</v>
      </c>
    </row>
    <row r="17" spans="1:52" s="25" customFormat="1">
      <c r="A17" s="4"/>
      <c r="B17" s="21">
        <f t="shared" si="2"/>
        <v>5</v>
      </c>
      <c r="C17" s="6" t="s">
        <v>3320</v>
      </c>
      <c r="D17" s="6" t="s">
        <v>2569</v>
      </c>
      <c r="E17" s="8"/>
      <c r="F17" s="7" t="s">
        <v>317</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milscm_2023_009.sny_202310_backup_mt_iyakuhin_brand.nen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milscm_2023_009.sny_202310_backup_mt_iyakuhin_brand.nengetsu IS '年月';</v>
      </c>
    </row>
    <row r="20" spans="1:52" s="25" customFormat="1" ht="19.5"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ENT_01_A3-20</v>
      </c>
      <c r="E6" s="240"/>
      <c r="F6" s="240"/>
      <c r="G6" s="240"/>
      <c r="H6" s="240"/>
      <c r="I6" s="240"/>
      <c r="J6" s="241"/>
    </row>
    <row r="7" spans="1:45">
      <c r="B7" s="229" t="s">
        <v>115</v>
      </c>
      <c r="C7" s="230"/>
      <c r="D7" s="231" t="s">
        <v>3321</v>
      </c>
      <c r="E7" s="232"/>
      <c r="F7" s="232"/>
      <c r="G7" s="232"/>
      <c r="H7" s="232"/>
      <c r="I7" s="232"/>
      <c r="J7" s="233"/>
    </row>
    <row r="8" spans="1:45">
      <c r="B8" s="229" t="s">
        <v>116</v>
      </c>
      <c r="C8" s="230"/>
      <c r="D8" s="231" t="str">
        <f>エンティティ一覧!AE2&amp;"_"&amp;D5&amp;"_mt_iyakuhin_ippan_name"</f>
        <v>sny_202310_backup_mt_iyakuhin_ippan_name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milscm_2023_009.sny_202310_backup_mt_iyakuhin_ippan_name;</v>
      </c>
      <c r="O10" s="76"/>
      <c r="P10" s="76"/>
      <c r="Q10" s="76"/>
      <c r="R10" s="76"/>
      <c r="S10" s="76"/>
      <c r="T10" s="76"/>
      <c r="AJ10" s="76" t="str">
        <f>"ALTER TABLE ONLY "&amp;エンティティ一覧!$O$2&amp;"."&amp;D$8</f>
        <v>ALTER TABLE ONLY milscm_2023_009.sny_202310_backup_mt_iyakuhin_ippan_name</v>
      </c>
      <c r="AS10" s="76" t="str">
        <f>"ALTER TABLE "&amp;エンティティ一覧!$O$2&amp;"."&amp;D$8&amp;" OWNER TO pgmisgrp1;"</f>
        <v>ALTER TABLE milscm_2023_009.sny_202310_backup_mt_iyakuhin_ippan_name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milscm_2023_009.sny_202310_backup_mt_iyakuhin_ippan_name</v>
      </c>
      <c r="O11" s="76"/>
      <c r="P11" s="76"/>
      <c r="Q11" s="76"/>
      <c r="R11" s="76"/>
      <c r="S11" s="76"/>
      <c r="T11" s="76"/>
      <c r="AJ11" s="76" t="str">
        <f>"ADD CONSTRAINT "&amp;D$8&amp;"_pkey PRIMARY KEY"</f>
        <v>ADD CONSTRAINT sny_202310_backup_mt_iyakuhin_ippan_name_pkey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milscm_2023_009.sny_202310_backup_mt_iyakuhin_ippan_name.koshin_kubun IS '更新区分';</v>
      </c>
    </row>
    <row r="15" spans="1:45" s="25" customFormat="1" ht="31.5">
      <c r="A15" s="4"/>
      <c r="B15" s="21">
        <f t="shared" si="2"/>
        <v>3</v>
      </c>
      <c r="C15" s="6" t="s">
        <v>2552</v>
      </c>
      <c r="D15" s="6" t="s">
        <v>3301</v>
      </c>
      <c r="E15" s="8" t="s">
        <v>127</v>
      </c>
      <c r="F15" s="7" t="s">
        <v>317</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2570</v>
      </c>
      <c r="D16" s="6" t="s">
        <v>2114</v>
      </c>
      <c r="E16" s="8"/>
      <c r="F16" s="7" t="s">
        <v>317</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milscm_2023_009.sny_202310_backup_mt_iyakuhin_ippan_name.iyakuhin_ippan_name IS '医薬品一般名';</v>
      </c>
    </row>
    <row r="17" spans="1:52" s="25" customFormat="1" ht="31.5">
      <c r="A17" s="4"/>
      <c r="B17" s="21">
        <f t="shared" si="2"/>
        <v>5</v>
      </c>
      <c r="C17" s="6" t="s">
        <v>2571</v>
      </c>
      <c r="D17" s="6" t="s">
        <v>3322</v>
      </c>
      <c r="E17" s="8"/>
      <c r="F17" s="7" t="s">
        <v>317</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milscm_2023_009.sny_202310_backup_mt_iyakuhin_ippan_name.nen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milscm_2023_009.sny_202310_backup_mt_iyakuhin_ippan_name.nengetsu IS '年月';</v>
      </c>
    </row>
    <row r="20" spans="1:52" s="25" customFormat="1" ht="19.5"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ENT_01_A3-21</v>
      </c>
      <c r="E6" s="240"/>
      <c r="F6" s="240"/>
      <c r="G6" s="240"/>
      <c r="H6" s="240"/>
      <c r="I6" s="240"/>
      <c r="J6" s="241"/>
    </row>
    <row r="7" spans="1:45">
      <c r="B7" s="229" t="s">
        <v>115</v>
      </c>
      <c r="C7" s="230"/>
      <c r="D7" s="231" t="s">
        <v>3323</v>
      </c>
      <c r="E7" s="232"/>
      <c r="F7" s="232"/>
      <c r="G7" s="232"/>
      <c r="H7" s="232"/>
      <c r="I7" s="232"/>
      <c r="J7" s="233"/>
    </row>
    <row r="8" spans="1:45">
      <c r="B8" s="229" t="s">
        <v>116</v>
      </c>
      <c r="C8" s="230"/>
      <c r="D8" s="231" t="str">
        <f>エンティティ一覧!AE2&amp;"_"&amp;D5&amp;"_mt_iyakuhin_sales_kaisha"</f>
        <v>sny_202310_backup_mt_iyakuhin_sales_kaisha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milscm_2023_009.sny_202310_backup_mt_iyakuhin_sales_kaisha;</v>
      </c>
      <c r="O10" s="76"/>
      <c r="P10" s="76"/>
      <c r="Q10" s="76"/>
      <c r="R10" s="76"/>
      <c r="S10" s="76"/>
      <c r="T10" s="76"/>
      <c r="AJ10" s="76" t="str">
        <f>"ALTER TABLE ONLY "&amp;エンティティ一覧!$O$2&amp;"."&amp;D$8</f>
        <v>ALTER TABLE ONLY milscm_2023_009.sny_202310_backup_mt_iyakuhin_sales_kaisha</v>
      </c>
      <c r="AS10" s="76" t="str">
        <f>"ALTER TABLE "&amp;エンティティ一覧!$O$2&amp;"."&amp;D$8&amp;" OWNER TO pgmisgrp1;"</f>
        <v>ALTER TABLE milscm_2023_009.sny_202310_backup_mt_iyakuhin_sales_kaisha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milscm_2023_009.sny_202310_backup_mt_iyakuhin_sales_kaisha</v>
      </c>
      <c r="O11" s="76"/>
      <c r="P11" s="76"/>
      <c r="Q11" s="76"/>
      <c r="R11" s="76"/>
      <c r="S11" s="76"/>
      <c r="T11" s="76"/>
      <c r="AJ11" s="76" t="str">
        <f>"ADD CONSTRAINT "&amp;D$8&amp;"_pkey PRIMARY KEY"</f>
        <v>ADD CONSTRAINT sny_202310_backup_mt_iyakuhin_sales_kaisha_pkey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3289</v>
      </c>
      <c r="D14" s="6" t="s">
        <v>2049</v>
      </c>
      <c r="E14" s="8" t="s">
        <v>127</v>
      </c>
      <c r="F14" s="7" t="s">
        <v>317</v>
      </c>
      <c r="G14" s="7" t="str">
        <f t="shared" ref="G14:G19" si="3">IF(F14="フラグ","boolean",IF(F14="文字列","text",IF(F14="整数","integer",IF(F14="実数","numeric",""))))</f>
        <v>text</v>
      </c>
      <c r="H14" s="26"/>
      <c r="I14" s="10" t="s">
        <v>127</v>
      </c>
      <c r="J14" s="11" t="s">
        <v>3314</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3324</v>
      </c>
      <c r="D16" s="6" t="s">
        <v>3325</v>
      </c>
      <c r="E16" s="8" t="s">
        <v>127</v>
      </c>
      <c r="F16" s="7" t="s">
        <v>317</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3308</v>
      </c>
      <c r="D17" s="6" t="s">
        <v>3309</v>
      </c>
      <c r="E17" s="8"/>
      <c r="F17" s="7" t="s">
        <v>317</v>
      </c>
      <c r="G17" s="7" t="str">
        <f t="shared" si="3"/>
        <v>text</v>
      </c>
      <c r="H17" s="26"/>
      <c r="I17" s="10" t="s">
        <v>127</v>
      </c>
      <c r="J17" s="11" t="s">
        <v>3316</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milscm_2023_009.sny_202310_backup_mt_iyakuhin_sales_kaisha.nen IS '年';</v>
      </c>
    </row>
    <row r="18" spans="1:52" s="25" customFormat="1">
      <c r="A18" s="4"/>
      <c r="B18" s="21">
        <f t="shared" si="2"/>
        <v>6</v>
      </c>
      <c r="C18" s="6" t="s">
        <v>3310</v>
      </c>
      <c r="D18" s="6" t="s">
        <v>3311</v>
      </c>
      <c r="E18" s="8"/>
      <c r="F18" s="7" t="s">
        <v>317</v>
      </c>
      <c r="G18" s="7" t="str">
        <f t="shared" si="3"/>
        <v>text</v>
      </c>
      <c r="H18" s="26"/>
      <c r="I18" s="10" t="s">
        <v>127</v>
      </c>
      <c r="J18" s="11" t="s">
        <v>3317</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milscm_2023_009.sny_202310_backup_mt_iyakuhin_sales_kaisha.nengetsu IS '年月';</v>
      </c>
    </row>
    <row r="19" spans="1:52" s="25" customFormat="1" ht="19.5" thickBot="1">
      <c r="A19" s="4"/>
      <c r="B19" s="27">
        <f>ROW()-12</f>
        <v>7</v>
      </c>
      <c r="C19" s="57" t="s">
        <v>3312</v>
      </c>
      <c r="D19" s="57" t="s">
        <v>1883</v>
      </c>
      <c r="E19" s="56"/>
      <c r="F19" s="56" t="s">
        <v>317</v>
      </c>
      <c r="G19" s="56" t="str">
        <f t="shared" si="3"/>
        <v>text</v>
      </c>
      <c r="H19" s="59"/>
      <c r="I19" s="60" t="s">
        <v>127</v>
      </c>
      <c r="J19" s="64" t="s">
        <v>2401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ENT_01_A3-22</v>
      </c>
      <c r="E6" s="240"/>
      <c r="F6" s="240"/>
      <c r="G6" s="240"/>
      <c r="H6" s="240"/>
      <c r="I6" s="240"/>
      <c r="J6" s="241"/>
    </row>
    <row r="7" spans="1:45">
      <c r="B7" s="229" t="s">
        <v>115</v>
      </c>
      <c r="C7" s="230"/>
      <c r="D7" s="231" t="s">
        <v>3244</v>
      </c>
      <c r="E7" s="232"/>
      <c r="F7" s="232"/>
      <c r="G7" s="232"/>
      <c r="H7" s="232"/>
      <c r="I7" s="232"/>
      <c r="J7" s="233"/>
    </row>
    <row r="8" spans="1:45">
      <c r="B8" s="229" t="s">
        <v>116</v>
      </c>
      <c r="C8" s="230"/>
      <c r="D8" s="231" t="str">
        <f>エンティティ一覧!AE2&amp;"_"&amp;D5&amp;"_mt_maker"</f>
        <v>sny_202310_backup_mt_maker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メーカマスタテーブルから組入れ条件の第一条件で絞り込んだ結果を格納するテーブル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milscm_2023_009.sny_202310_backup_mt_maker;</v>
      </c>
      <c r="O10" s="76"/>
      <c r="P10" s="76"/>
      <c r="Q10" s="76"/>
      <c r="R10" s="76"/>
      <c r="S10" s="76"/>
      <c r="T10" s="76"/>
      <c r="AJ10" s="76" t="str">
        <f>"ALTER TABLE ONLY "&amp;エンティティ一覧!$O$2&amp;"."&amp;D$8</f>
        <v>ALTER TABLE ONLY milscm_2023_009.sny_202310_backup_mt_maker</v>
      </c>
      <c r="AS10" s="76" t="str">
        <f>"ALTER TABLE "&amp;エンティティ一覧!$O$2&amp;"."&amp;D$8&amp;" OWNER TO pgmisgrp1;"</f>
        <v>ALTER TABLE milscm_2023_009.sny_202310_backup_mt_maker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milscm_2023_009.sny_202310_backup_mt_maker</v>
      </c>
      <c r="O11" s="76"/>
      <c r="P11" s="76"/>
      <c r="Q11" s="76"/>
      <c r="R11" s="76"/>
      <c r="S11" s="76"/>
      <c r="T11" s="76"/>
      <c r="AJ11" s="76" t="str">
        <f>"ADD CONSTRAINT "&amp;D$8&amp;"_pkey PRIMARY KEY"</f>
        <v>ADD CONSTRAINT sny_202310_backup_mt_maker_pkey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milscm_2023_009.sny_202310_backup_mt_maker IS 'バックアップ_メーカマスタ';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3289</v>
      </c>
      <c r="D14" s="6" t="s">
        <v>2049</v>
      </c>
      <c r="E14" s="8" t="s">
        <v>127</v>
      </c>
      <c r="F14" s="7" t="s">
        <v>317</v>
      </c>
      <c r="G14" s="7" t="str">
        <f t="shared" ref="G14:G19" si="3">IF(F14="フラグ","boolean",IF(F14="文字列","text",IF(F14="整数","integer",IF(F14="実数","numeric",""))))</f>
        <v>text</v>
      </c>
      <c r="H14" s="26"/>
      <c r="I14" s="10" t="s">
        <v>127</v>
      </c>
      <c r="J14" s="11" t="s">
        <v>3314</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milscm_2023_009.sny_202310_backup_mt_maker.koshin_kubun IS '更新区分';</v>
      </c>
    </row>
    <row r="15" spans="1:45" s="25" customFormat="1">
      <c r="A15" s="4"/>
      <c r="B15" s="21">
        <f t="shared" si="2"/>
        <v>3</v>
      </c>
      <c r="C15" s="6" t="s">
        <v>3324</v>
      </c>
      <c r="D15" s="6" t="s">
        <v>3325</v>
      </c>
      <c r="E15" s="8" t="s">
        <v>127</v>
      </c>
      <c r="F15" s="7" t="s">
        <v>317</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3326</v>
      </c>
      <c r="D16" s="6" t="s">
        <v>3327</v>
      </c>
      <c r="E16" s="8"/>
      <c r="F16" s="7" t="s">
        <v>317</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milscm_2023_009.sny_202310_backup_mt_maker.maker_name IS 'メーカ名';</v>
      </c>
    </row>
    <row r="17" spans="1:52" s="25" customFormat="1">
      <c r="A17" s="4"/>
      <c r="B17" s="21">
        <f t="shared" si="2"/>
        <v>5</v>
      </c>
      <c r="C17" s="6" t="s">
        <v>3308</v>
      </c>
      <c r="D17" s="6" t="s">
        <v>3309</v>
      </c>
      <c r="E17" s="8"/>
      <c r="F17" s="7" t="s">
        <v>317</v>
      </c>
      <c r="G17" s="7" t="str">
        <f t="shared" si="3"/>
        <v>text</v>
      </c>
      <c r="H17" s="26"/>
      <c r="I17" s="10" t="s">
        <v>127</v>
      </c>
      <c r="J17" s="11" t="s">
        <v>3316</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milscm_2023_009.sny_202310_backup_mt_maker.nen IS '年';</v>
      </c>
    </row>
    <row r="18" spans="1:52" s="25" customFormat="1">
      <c r="A18" s="4"/>
      <c r="B18" s="21">
        <f t="shared" si="2"/>
        <v>6</v>
      </c>
      <c r="C18" s="6" t="s">
        <v>3310</v>
      </c>
      <c r="D18" s="6" t="s">
        <v>3311</v>
      </c>
      <c r="E18" s="8"/>
      <c r="F18" s="7" t="s">
        <v>317</v>
      </c>
      <c r="G18" s="7" t="str">
        <f t="shared" si="3"/>
        <v>text</v>
      </c>
      <c r="H18" s="26"/>
      <c r="I18" s="10" t="s">
        <v>127</v>
      </c>
      <c r="J18" s="11" t="s">
        <v>3317</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milscm_2023_009.sny_202310_backup_mt_maker.nengetsu IS '年月';</v>
      </c>
    </row>
    <row r="19" spans="1:52" s="25" customFormat="1" ht="19.5" thickBot="1">
      <c r="A19" s="4"/>
      <c r="B19" s="27">
        <f>ROW()-12</f>
        <v>7</v>
      </c>
      <c r="C19" s="57" t="s">
        <v>3312</v>
      </c>
      <c r="D19" s="57" t="s">
        <v>1883</v>
      </c>
      <c r="E19" s="56"/>
      <c r="F19" s="56" t="s">
        <v>317</v>
      </c>
      <c r="G19" s="56" t="str">
        <f t="shared" si="3"/>
        <v>text</v>
      </c>
      <c r="H19" s="59"/>
      <c r="I19" s="60" t="s">
        <v>127</v>
      </c>
      <c r="J19" s="64" t="s">
        <v>2401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ENT_01_A3-23</v>
      </c>
      <c r="E6" s="240"/>
      <c r="F6" s="240"/>
      <c r="G6" s="240"/>
      <c r="H6" s="240"/>
      <c r="I6" s="240"/>
      <c r="J6" s="241"/>
    </row>
    <row r="7" spans="1:45">
      <c r="B7" s="229" t="s">
        <v>115</v>
      </c>
      <c r="C7" s="230"/>
      <c r="D7" s="231" t="s">
        <v>3328</v>
      </c>
      <c r="E7" s="232"/>
      <c r="F7" s="232"/>
      <c r="G7" s="232"/>
      <c r="H7" s="232"/>
      <c r="I7" s="232"/>
      <c r="J7" s="233"/>
    </row>
    <row r="8" spans="1:45">
      <c r="B8" s="229" t="s">
        <v>116</v>
      </c>
      <c r="C8" s="230"/>
      <c r="D8" s="231" t="str">
        <f>エンティティ一覧!AE2&amp;"_"&amp;D5&amp;"_mt_price"</f>
        <v>sny_202310_backup_mt_price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薬価マスタテーブルから組入れ条件の第一条件で絞り込んだ結果を格納するテーブル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milscm_2023_009.sny_202310_backup_mt_price;</v>
      </c>
      <c r="O10" s="76"/>
      <c r="P10" s="76"/>
      <c r="Q10" s="76"/>
      <c r="R10" s="76"/>
      <c r="S10" s="76"/>
      <c r="T10" s="76"/>
      <c r="AJ10" s="76" t="str">
        <f>"ALTER TABLE ONLY "&amp;エンティティ一覧!$O$2&amp;"."&amp;D$8</f>
        <v>ALTER TABLE ONLY milscm_2023_009.sny_202310_backup_mt_price</v>
      </c>
      <c r="AS10" s="76" t="str">
        <f>"ALTER TABLE "&amp;エンティティ一覧!$O$2&amp;"."&amp;D$8&amp;" OWNER TO pgmisgrp1;"</f>
        <v>ALTER TABLE milscm_2023_009.sny_202310_backup_mt_price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milscm_2023_009.sny_202310_backup_mt_price</v>
      </c>
      <c r="O11" s="76"/>
      <c r="P11" s="76"/>
      <c r="Q11" s="76"/>
      <c r="R11" s="76"/>
      <c r="S11" s="76"/>
      <c r="T11" s="76"/>
      <c r="AJ11" s="76" t="str">
        <f>"ADD CONSTRAINT "&amp;D$8&amp;"_pkey PRIMARY KEY"</f>
        <v>ADD CONSTRAINT sny_202310_backup_mt_price_pkey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milscm_2023_009.sny_202310_backup_mt_price IS 'バックアップ_薬価マスタ';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milscm_2023_009.sny_202310_backup_mt_price.koshin_kubun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3329</v>
      </c>
      <c r="D16" s="6" t="s">
        <v>3330</v>
      </c>
      <c r="E16" s="8"/>
      <c r="F16" s="7" t="s">
        <v>317</v>
      </c>
      <c r="G16" s="7" t="str">
        <f t="shared" si="3"/>
        <v>text</v>
      </c>
      <c r="H16" s="26"/>
      <c r="I16" s="10" t="s">
        <v>127</v>
      </c>
      <c r="J16" s="11" t="s">
        <v>3331</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milscm_2023_009.sny_202310_backup_mt_price.nendo IS '年度';</v>
      </c>
    </row>
    <row r="17" spans="1:52" s="25" customFormat="1" ht="37.5">
      <c r="A17" s="4"/>
      <c r="B17" s="21">
        <f t="shared" si="2"/>
        <v>5</v>
      </c>
      <c r="C17" s="6" t="s">
        <v>2605</v>
      </c>
      <c r="D17" s="6" t="s">
        <v>2606</v>
      </c>
      <c r="E17" s="8"/>
      <c r="F17" s="7" t="s">
        <v>332</v>
      </c>
      <c r="G17" s="7" t="str">
        <f t="shared" si="3"/>
        <v>numeric</v>
      </c>
      <c r="H17" s="26"/>
      <c r="I17" s="10" t="s">
        <v>127</v>
      </c>
      <c r="J17" s="11" t="s">
        <v>2397</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milscm_2023_009.sny_202310_backup_mt_price.price IS '薬価';</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milscm_2023_009.sny_202310_backup_mt_price.nen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milscm_2023_009.sny_202310_backup_mt_price.nengetsu IS '年月';</v>
      </c>
    </row>
    <row r="20" spans="1:52" s="25" customFormat="1" ht="19.5"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ENT_01_A3-24</v>
      </c>
      <c r="E6" s="240"/>
      <c r="F6" s="240"/>
      <c r="G6" s="240"/>
      <c r="H6" s="240"/>
      <c r="I6" s="240"/>
      <c r="J6" s="241"/>
    </row>
    <row r="7" spans="1:45">
      <c r="B7" s="229" t="s">
        <v>115</v>
      </c>
      <c r="C7" s="230"/>
      <c r="D7" s="231" t="s">
        <v>3246</v>
      </c>
      <c r="E7" s="232"/>
      <c r="F7" s="232"/>
      <c r="G7" s="232"/>
      <c r="H7" s="232"/>
      <c r="I7" s="232"/>
      <c r="J7" s="233"/>
    </row>
    <row r="8" spans="1:45">
      <c r="B8" s="229" t="s">
        <v>116</v>
      </c>
      <c r="C8" s="230"/>
      <c r="D8" s="231" t="str">
        <f>エンティティ一覧!AE2&amp;"_"&amp;D5&amp;"_mt_yakko_atc1"</f>
        <v>sny_202310_backup_mt_yakko_atc1</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milscm_2023_009.sny_202310_backup_mt_yakko_atc1;</v>
      </c>
      <c r="O10" s="76"/>
      <c r="P10" s="76"/>
      <c r="Q10" s="76"/>
      <c r="R10" s="76"/>
      <c r="S10" s="76"/>
      <c r="T10" s="76"/>
      <c r="AJ10" s="76" t="str">
        <f>"ALTER TABLE ONLY "&amp;エンティティ一覧!$O$2&amp;"."&amp;D$8</f>
        <v>ALTER TABLE ONLY milscm_2023_009.sny_202310_backup_mt_yakko_atc1</v>
      </c>
      <c r="AS10" s="76" t="str">
        <f>"ALTER TABLE "&amp;エンティティ一覧!$O$2&amp;"."&amp;D$8&amp;" OWNER TO pgmisgrp1;"</f>
        <v>ALTER TABLE milscm_2023_009.sny_202310_backup_mt_yakko_atc1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milscm_2023_009.sny_202310_backup_mt_yakko_atc1</v>
      </c>
      <c r="O11" s="76"/>
      <c r="P11" s="76"/>
      <c r="Q11" s="76"/>
      <c r="R11" s="76"/>
      <c r="S11" s="76"/>
      <c r="T11" s="76"/>
      <c r="AJ11" s="76" t="str">
        <f>"ADD CONSTRAINT "&amp;D$8&amp;"_pkey PRIMARY KEY"</f>
        <v>ADD CONSTRAINT sny_202310_backup_mt_yakko_atc1_pkey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2572</v>
      </c>
      <c r="D16" s="6" t="s">
        <v>3332</v>
      </c>
      <c r="E16" s="8"/>
      <c r="F16" s="7" t="s">
        <v>317</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milscm_2023_009.sny_202310_backup_mt_yakko_atc1.yakko_bunrui1_name IS '薬効分類1名';</v>
      </c>
    </row>
    <row r="17" spans="1:52" s="25" customFormat="1">
      <c r="A17" s="4"/>
      <c r="B17" s="21">
        <f t="shared" si="2"/>
        <v>5</v>
      </c>
      <c r="C17" s="6" t="s">
        <v>3333</v>
      </c>
      <c r="D17" s="6" t="s">
        <v>2573</v>
      </c>
      <c r="E17" s="8"/>
      <c r="F17" s="7" t="s">
        <v>317</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milscm_2023_009.sny_202310_backup_mt_yakko_atc1.nen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milscm_2023_009.sny_202310_backup_mt_yakko_atc1.nengetsu IS '年月';</v>
      </c>
    </row>
    <row r="20" spans="1:52" s="25" customFormat="1" ht="19.5"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ENT_01_A3-25</v>
      </c>
      <c r="E6" s="240"/>
      <c r="F6" s="240"/>
      <c r="G6" s="240"/>
      <c r="H6" s="240"/>
      <c r="I6" s="240"/>
      <c r="J6" s="241"/>
    </row>
    <row r="7" spans="1:45">
      <c r="B7" s="229" t="s">
        <v>115</v>
      </c>
      <c r="C7" s="230"/>
      <c r="D7" s="231" t="s">
        <v>3334</v>
      </c>
      <c r="E7" s="232"/>
      <c r="F7" s="232"/>
      <c r="G7" s="232"/>
      <c r="H7" s="232"/>
      <c r="I7" s="232"/>
      <c r="J7" s="233"/>
    </row>
    <row r="8" spans="1:45">
      <c r="B8" s="229" t="s">
        <v>116</v>
      </c>
      <c r="C8" s="230"/>
      <c r="D8" s="231" t="str">
        <f>エンティティ一覧!AE2&amp;"_"&amp;D5&amp;"_mt_yakko_atc2"</f>
        <v>sny_202310_backup_mt_yakko_atc2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milscm_2023_009.sny_202310_backup_mt_yakko_atc2;</v>
      </c>
      <c r="O10" s="76"/>
      <c r="P10" s="76"/>
      <c r="Q10" s="76"/>
      <c r="R10" s="76"/>
      <c r="S10" s="76"/>
      <c r="T10" s="76"/>
      <c r="AJ10" s="76" t="str">
        <f>"ALTER TABLE ONLY "&amp;エンティティ一覧!$O$2&amp;"."&amp;D$8</f>
        <v>ALTER TABLE ONLY milscm_2023_009.sny_202310_backup_mt_yakko_atc2</v>
      </c>
      <c r="AS10" s="76" t="str">
        <f>"ALTER TABLE "&amp;エンティティ一覧!$O$2&amp;"."&amp;D$8&amp;" OWNER TO pgmisgrp1;"</f>
        <v>ALTER TABLE milscm_2023_009.sny_202310_backup_mt_yakko_atc2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milscm_2023_009.sny_202310_backup_mt_yakko_atc2</v>
      </c>
      <c r="O11" s="76"/>
      <c r="P11" s="76"/>
      <c r="Q11" s="76"/>
      <c r="R11" s="76"/>
      <c r="S11" s="76"/>
      <c r="T11" s="76"/>
      <c r="AJ11" s="76" t="str">
        <f>"ADD CONSTRAINT "&amp;D$8&amp;"_pkey PRIMARY KEY"</f>
        <v>ADD CONSTRAINT sny_202310_backup_mt_yakko_atc2_pkey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3289</v>
      </c>
      <c r="D14" s="6" t="s">
        <v>2049</v>
      </c>
      <c r="E14" s="8" t="s">
        <v>127</v>
      </c>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2574</v>
      </c>
      <c r="D17" s="6" t="s">
        <v>3335</v>
      </c>
      <c r="E17" s="8"/>
      <c r="F17" s="7" t="s">
        <v>317</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milscm_2023_009.sny_202310_backup_mt_yakko_atc2.yakko_bunrui2_name IS '薬効分類2名';</v>
      </c>
    </row>
    <row r="18" spans="1:52" s="25" customFormat="1">
      <c r="A18" s="4"/>
      <c r="B18" s="21">
        <f t="shared" si="2"/>
        <v>6</v>
      </c>
      <c r="C18" s="6" t="s">
        <v>3336</v>
      </c>
      <c r="D18" s="6" t="s">
        <v>2575</v>
      </c>
      <c r="E18" s="8"/>
      <c r="F18" s="7" t="s">
        <v>317</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milscm_2023_009.sny_202310_backup_mt_yakko_atc2.nen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milscm_2023_009.sny_202310_backup_mt_yakko_atc2.nengetsu IS '年月';</v>
      </c>
    </row>
    <row r="21" spans="1:52" s="25" customFormat="1" ht="19.5" thickBot="1">
      <c r="A21" s="4"/>
      <c r="B21" s="27">
        <f>ROW()-12</f>
        <v>9</v>
      </c>
      <c r="C21" s="57" t="s">
        <v>3312</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ENT_01_A3-26</v>
      </c>
      <c r="E6" s="240"/>
      <c r="F6" s="240"/>
      <c r="G6" s="240"/>
      <c r="H6" s="240"/>
      <c r="I6" s="240"/>
      <c r="J6" s="241"/>
    </row>
    <row r="7" spans="1:45">
      <c r="B7" s="229" t="s">
        <v>115</v>
      </c>
      <c r="C7" s="230"/>
      <c r="D7" s="231" t="s">
        <v>3337</v>
      </c>
      <c r="E7" s="232"/>
      <c r="F7" s="232"/>
      <c r="G7" s="232"/>
      <c r="H7" s="232"/>
      <c r="I7" s="232"/>
      <c r="J7" s="233"/>
    </row>
    <row r="8" spans="1:45">
      <c r="B8" s="229" t="s">
        <v>116</v>
      </c>
      <c r="C8" s="230"/>
      <c r="D8" s="231" t="str">
        <f>エンティティ一覧!AE2&amp;"_"&amp;D5&amp;"_mt_yakko_atc3"</f>
        <v>sny_202310_backup_mt_yakko_atc3</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milscm_2023_009.sny_202310_backup_mt_yakko_atc3;</v>
      </c>
      <c r="O10" s="76"/>
      <c r="P10" s="76"/>
      <c r="Q10" s="76"/>
      <c r="R10" s="76"/>
      <c r="S10" s="76"/>
      <c r="T10" s="76"/>
      <c r="AJ10" s="76" t="str">
        <f>"ALTER TABLE ONLY "&amp;エンティティ一覧!$O$2&amp;"."&amp;D$8</f>
        <v>ALTER TABLE ONLY milscm_2023_009.sny_202310_backup_mt_yakko_atc3</v>
      </c>
      <c r="AS10" s="76" t="str">
        <f>"ALTER TABLE "&amp;エンティティ一覧!$O$2&amp;"."&amp;D$8&amp;" OWNER TO pgmisgrp1;"</f>
        <v>ALTER TABLE milscm_2023_009.sny_202310_backup_mt_yakko_atc3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milscm_2023_009.sny_202310_backup_mt_yakko_atc3</v>
      </c>
      <c r="O11" s="76"/>
      <c r="P11" s="76"/>
      <c r="Q11" s="76"/>
      <c r="R11" s="76"/>
      <c r="S11" s="76"/>
      <c r="T11" s="76"/>
      <c r="AJ11" s="76" t="str">
        <f>"ADD CONSTRAINT "&amp;D$8&amp;"_pkey PRIMARY KEY"</f>
        <v>ADD CONSTRAINT sny_202310_backup_mt_yakko_atc3_pkey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3289</v>
      </c>
      <c r="D14" s="6" t="s">
        <v>2049</v>
      </c>
      <c r="E14" s="8" t="s">
        <v>127</v>
      </c>
      <c r="F14" s="7" t="s">
        <v>317</v>
      </c>
      <c r="G14" s="7" t="str">
        <f t="shared" ref="G14:G22" si="3">IF(F14="フラグ","boolean",IF(F14="文字列","text",IF(F14="整数","integer",IF(F14="実数","numeric",""))))</f>
        <v>text</v>
      </c>
      <c r="H14" s="26"/>
      <c r="I14" s="10" t="s">
        <v>127</v>
      </c>
      <c r="J14" s="11" t="s">
        <v>3314</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2558</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2576</v>
      </c>
      <c r="D18" s="6" t="s">
        <v>3338</v>
      </c>
      <c r="E18" s="8"/>
      <c r="F18" s="7" t="s">
        <v>317</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milscm_2023_009.sny_202310_backup_mt_yakko_atc3.yakko_bunrui3_name IS '薬効分類3名';</v>
      </c>
    </row>
    <row r="19" spans="1:52" s="25" customFormat="1">
      <c r="A19" s="4"/>
      <c r="B19" s="21">
        <f t="shared" si="2"/>
        <v>7</v>
      </c>
      <c r="C19" s="6" t="s">
        <v>3339</v>
      </c>
      <c r="D19" s="6" t="s">
        <v>2577</v>
      </c>
      <c r="E19" s="8"/>
      <c r="F19" s="7" t="s">
        <v>317</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3308</v>
      </c>
      <c r="D20" s="6" t="s">
        <v>3309</v>
      </c>
      <c r="E20" s="8"/>
      <c r="F20" s="7" t="s">
        <v>317</v>
      </c>
      <c r="G20" s="7" t="str">
        <f t="shared" ref="G20" si="7">IF(F20="フラグ","boolean",IF(F20="文字列","text",IF(F20="整数","integer",IF(F20="実数","numeric",""))))</f>
        <v>text</v>
      </c>
      <c r="H20" s="26"/>
      <c r="I20" s="10" t="s">
        <v>127</v>
      </c>
      <c r="J20" s="11" t="s">
        <v>3316</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milscm_2023_009.sny_202310_backup_mt_yakko_atc3.nen IS '年';</v>
      </c>
    </row>
    <row r="21" spans="1:52" s="25" customFormat="1">
      <c r="A21" s="4"/>
      <c r="B21" s="21">
        <f t="shared" si="2"/>
        <v>9</v>
      </c>
      <c r="C21" s="6" t="s">
        <v>3310</v>
      </c>
      <c r="D21" s="6" t="s">
        <v>3311</v>
      </c>
      <c r="E21" s="8"/>
      <c r="F21" s="7" t="s">
        <v>317</v>
      </c>
      <c r="G21" s="7" t="str">
        <f t="shared" si="3"/>
        <v>text</v>
      </c>
      <c r="H21" s="26"/>
      <c r="I21" s="10" t="s">
        <v>127</v>
      </c>
      <c r="J21" s="11" t="s">
        <v>3317</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milscm_2023_009.sny_202310_backup_mt_yakko_atc3.nengetsu IS '年月';</v>
      </c>
    </row>
    <row r="22" spans="1:52" s="25" customFormat="1" ht="19.5" thickBot="1">
      <c r="A22" s="4"/>
      <c r="B22" s="27">
        <f>ROW()-12</f>
        <v>10</v>
      </c>
      <c r="C22" s="57" t="s">
        <v>3312</v>
      </c>
      <c r="D22" s="57" t="s">
        <v>1883</v>
      </c>
      <c r="E22" s="56"/>
      <c r="F22" s="56" t="s">
        <v>317</v>
      </c>
      <c r="G22" s="56" t="str">
        <f t="shared" si="3"/>
        <v>text</v>
      </c>
      <c r="H22" s="59"/>
      <c r="I22" s="60" t="s">
        <v>127</v>
      </c>
      <c r="J22" s="64" t="s">
        <v>2401</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ENT_01_A3-27</v>
      </c>
      <c r="E6" s="240"/>
      <c r="F6" s="240"/>
      <c r="G6" s="240"/>
      <c r="H6" s="240"/>
      <c r="I6" s="240"/>
      <c r="J6" s="241"/>
    </row>
    <row r="7" spans="1:45">
      <c r="B7" s="229" t="s">
        <v>115</v>
      </c>
      <c r="C7" s="230"/>
      <c r="D7" s="231" t="s">
        <v>3340</v>
      </c>
      <c r="E7" s="232"/>
      <c r="F7" s="232"/>
      <c r="G7" s="232"/>
      <c r="H7" s="232"/>
      <c r="I7" s="232"/>
      <c r="J7" s="233"/>
    </row>
    <row r="8" spans="1:45">
      <c r="B8" s="229" t="s">
        <v>116</v>
      </c>
      <c r="C8" s="230"/>
      <c r="D8" s="231" t="str">
        <f>エンティティ一覧!AE2&amp;"_"&amp;D5&amp;"_mt_yakko_atc4"</f>
        <v>sny_202310_backup_mt_yakko_atc4</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milscm_2023_009.sny_202310_backup_mt_yakko_atc4;</v>
      </c>
      <c r="O10" s="76"/>
      <c r="P10" s="76"/>
      <c r="Q10" s="76"/>
      <c r="R10" s="76"/>
      <c r="S10" s="76"/>
      <c r="T10" s="76"/>
      <c r="AJ10" s="76" t="str">
        <f>"ALTER TABLE ONLY "&amp;エンティティ一覧!$O$2&amp;"."&amp;D$8</f>
        <v>ALTER TABLE ONLY milscm_2023_009.sny_202310_backup_mt_yakko_atc4</v>
      </c>
      <c r="AS10" s="76" t="str">
        <f>"ALTER TABLE "&amp;エンティティ一覧!$O$2&amp;"."&amp;D$8&amp;" OWNER TO pgmisgrp1;"</f>
        <v>ALTER TABLE milscm_2023_009.sny_202310_backup_mt_yakko_atc4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milscm_2023_009.sny_202310_backup_mt_yakko_atc4</v>
      </c>
      <c r="O11" s="76"/>
      <c r="P11" s="76"/>
      <c r="Q11" s="76"/>
      <c r="R11" s="76"/>
      <c r="S11" s="76"/>
      <c r="T11" s="76"/>
      <c r="AJ11" s="76" t="str">
        <f>"ADD CONSTRAINT "&amp;D$8&amp;"_pkey PRIMARY KEY"</f>
        <v>ADD CONSTRAINT sny_202310_backup_mt_yakko_atc4_pkey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3289</v>
      </c>
      <c r="D14" s="6" t="s">
        <v>2049</v>
      </c>
      <c r="E14" s="8" t="s">
        <v>127</v>
      </c>
      <c r="F14" s="7" t="s">
        <v>317</v>
      </c>
      <c r="G14" s="7" t="str">
        <f t="shared" ref="G14:G23" si="3">IF(F14="フラグ","boolean",IF(F14="文字列","text",IF(F14="整数","integer",IF(F14="実数","numeric",""))))</f>
        <v>text</v>
      </c>
      <c r="H14" s="26"/>
      <c r="I14" s="10" t="s">
        <v>127</v>
      </c>
      <c r="J14" s="11" t="s">
        <v>3314</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2558</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2560</v>
      </c>
      <c r="D18" s="6" t="s">
        <v>3293</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2578</v>
      </c>
      <c r="D19" s="6" t="s">
        <v>3341</v>
      </c>
      <c r="E19" s="8"/>
      <c r="F19" s="7" t="s">
        <v>317</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milscm_2023_009.sny_202310_backup_mt_yakko_atc4.yakko_bunrui4_name IS '薬効分類4名';</v>
      </c>
    </row>
    <row r="20" spans="1:52" s="25" customFormat="1">
      <c r="A20" s="4"/>
      <c r="B20" s="21">
        <f t="shared" si="2"/>
        <v>8</v>
      </c>
      <c r="C20" s="6" t="s">
        <v>3342</v>
      </c>
      <c r="D20" s="6" t="s">
        <v>2579</v>
      </c>
      <c r="E20" s="8"/>
      <c r="F20" s="7" t="s">
        <v>317</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3308</v>
      </c>
      <c r="D21" s="6" t="s">
        <v>3309</v>
      </c>
      <c r="E21" s="8"/>
      <c r="F21" s="7" t="s">
        <v>317</v>
      </c>
      <c r="G21" s="7" t="str">
        <f t="shared" si="3"/>
        <v>text</v>
      </c>
      <c r="H21" s="26"/>
      <c r="I21" s="10" t="s">
        <v>127</v>
      </c>
      <c r="J21" s="11" t="s">
        <v>3316</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milscm_2023_009.sny_202310_backup_mt_yakko_atc4.nen IS '年';</v>
      </c>
    </row>
    <row r="22" spans="1:52" s="25" customFormat="1">
      <c r="A22" s="4"/>
      <c r="B22" s="21">
        <f t="shared" si="2"/>
        <v>10</v>
      </c>
      <c r="C22" s="6" t="s">
        <v>3310</v>
      </c>
      <c r="D22" s="6" t="s">
        <v>3311</v>
      </c>
      <c r="E22" s="8"/>
      <c r="F22" s="7" t="s">
        <v>317</v>
      </c>
      <c r="G22" s="7" t="str">
        <f t="shared" si="3"/>
        <v>text</v>
      </c>
      <c r="H22" s="26"/>
      <c r="I22" s="10" t="s">
        <v>127</v>
      </c>
      <c r="J22" s="11" t="s">
        <v>3317</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milscm_2023_009.sny_202310_backup_mt_yakko_atc4.nengetsu IS '年月';</v>
      </c>
    </row>
    <row r="23" spans="1:52" s="25" customFormat="1" ht="19.5" thickBot="1">
      <c r="A23" s="4"/>
      <c r="B23" s="27">
        <f>ROW()-12</f>
        <v>11</v>
      </c>
      <c r="C23" s="57" t="s">
        <v>3312</v>
      </c>
      <c r="D23" s="57" t="s">
        <v>1883</v>
      </c>
      <c r="E23" s="56"/>
      <c r="F23" s="56" t="s">
        <v>317</v>
      </c>
      <c r="G23" s="56" t="str">
        <f t="shared" si="3"/>
        <v>text</v>
      </c>
      <c r="H23" s="59"/>
      <c r="I23" s="60" t="s">
        <v>127</v>
      </c>
      <c r="J23" s="64" t="s">
        <v>2401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ENT_01_A3-28</v>
      </c>
      <c r="E6" s="240"/>
      <c r="F6" s="240"/>
      <c r="G6" s="240"/>
      <c r="H6" s="240"/>
      <c r="I6" s="240"/>
      <c r="J6" s="241"/>
    </row>
    <row r="7" spans="1:45">
      <c r="B7" s="229" t="s">
        <v>115</v>
      </c>
      <c r="C7" s="230"/>
      <c r="D7" s="231" t="s">
        <v>3343</v>
      </c>
      <c r="E7" s="232"/>
      <c r="F7" s="232"/>
      <c r="G7" s="232"/>
      <c r="H7" s="232"/>
      <c r="I7" s="232"/>
      <c r="J7" s="233"/>
    </row>
    <row r="8" spans="1:45">
      <c r="B8" s="229" t="s">
        <v>116</v>
      </c>
      <c r="C8" s="230"/>
      <c r="D8" s="231" t="str">
        <f>エンティティ一覧!AE2&amp;"_"&amp;D5&amp;"_mt_yakko_atc5"</f>
        <v>sny_202310_backup_mt_yakko_atc5</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milscm_2023_009.sny_202310_backup_mt_yakko_atc5;</v>
      </c>
      <c r="O10" s="76"/>
      <c r="P10" s="76"/>
      <c r="Q10" s="76"/>
      <c r="R10" s="76"/>
      <c r="S10" s="76"/>
      <c r="T10" s="76"/>
      <c r="AJ10" s="76" t="str">
        <f>"ALTER TABLE ONLY "&amp;エンティティ一覧!$O$2&amp;"."&amp;D$8</f>
        <v>ALTER TABLE ONLY milscm_2023_009.sny_202310_backup_mt_yakko_atc5</v>
      </c>
      <c r="AS10" s="76" t="str">
        <f>"ALTER TABLE "&amp;エンティティ一覧!$O$2&amp;"."&amp;D$8&amp;" OWNER TO pgmisgrp1;"</f>
        <v>ALTER TABLE milscm_2023_009.sny_202310_backup_mt_yakko_atc5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milscm_2023_009.sny_202310_backup_mt_yakko_atc5</v>
      </c>
      <c r="O11" s="76"/>
      <c r="P11" s="76"/>
      <c r="Q11" s="76"/>
      <c r="R11" s="76"/>
      <c r="S11" s="76"/>
      <c r="T11" s="76"/>
      <c r="AJ11" s="76" t="str">
        <f>"ADD CONSTRAINT "&amp;D$8&amp;"_pkey PRIMARY KEY"</f>
        <v>ADD CONSTRAINT sny_202310_backup_mt_yakko_atc5_pkey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3289</v>
      </c>
      <c r="D14" s="6" t="s">
        <v>2049</v>
      </c>
      <c r="E14" s="8" t="s">
        <v>127</v>
      </c>
      <c r="F14" s="7" t="s">
        <v>317</v>
      </c>
      <c r="G14" s="7" t="str">
        <f t="shared" ref="G14:G24" si="3">IF(F14="フラグ","boolean",IF(F14="文字列","text",IF(F14="整数","integer",IF(F14="実数","numeric",""))))</f>
        <v>text</v>
      </c>
      <c r="H14" s="26"/>
      <c r="I14" s="10" t="s">
        <v>127</v>
      </c>
      <c r="J14" s="11" t="s">
        <v>3314</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2558</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2560</v>
      </c>
      <c r="D18" s="6" t="s">
        <v>3293</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2562</v>
      </c>
      <c r="D19" s="6" t="s">
        <v>3294</v>
      </c>
      <c r="E19" s="8" t="s">
        <v>127</v>
      </c>
      <c r="F19" s="7" t="s">
        <v>317</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2580</v>
      </c>
      <c r="D20" s="6" t="s">
        <v>3344</v>
      </c>
      <c r="E20" s="8"/>
      <c r="F20" s="7" t="s">
        <v>317</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milscm_2023_009.sny_202310_backup_mt_yakko_atc5.yakko_bunrui5_name IS '薬効分類5名';</v>
      </c>
    </row>
    <row r="21" spans="1:52" s="25" customFormat="1">
      <c r="A21" s="4"/>
      <c r="B21" s="21">
        <f t="shared" si="2"/>
        <v>9</v>
      </c>
      <c r="C21" s="6" t="s">
        <v>3345</v>
      </c>
      <c r="D21" s="6" t="s">
        <v>2581</v>
      </c>
      <c r="E21" s="8"/>
      <c r="F21" s="7" t="s">
        <v>317</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3308</v>
      </c>
      <c r="D22" s="6" t="s">
        <v>3309</v>
      </c>
      <c r="E22" s="8"/>
      <c r="F22" s="7" t="s">
        <v>317</v>
      </c>
      <c r="G22" s="7" t="str">
        <f t="shared" si="3"/>
        <v>text</v>
      </c>
      <c r="H22" s="26"/>
      <c r="I22" s="10" t="s">
        <v>127</v>
      </c>
      <c r="J22" s="11" t="s">
        <v>3316</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milscm_2023_009.sny_202310_backup_mt_yakko_atc5.nen IS '年';</v>
      </c>
    </row>
    <row r="23" spans="1:52" s="25" customFormat="1">
      <c r="A23" s="4"/>
      <c r="B23" s="21">
        <f t="shared" si="2"/>
        <v>11</v>
      </c>
      <c r="C23" s="6" t="s">
        <v>3310</v>
      </c>
      <c r="D23" s="6" t="s">
        <v>3311</v>
      </c>
      <c r="E23" s="8"/>
      <c r="F23" s="7" t="s">
        <v>317</v>
      </c>
      <c r="G23" s="7" t="str">
        <f t="shared" si="3"/>
        <v>text</v>
      </c>
      <c r="H23" s="26"/>
      <c r="I23" s="10" t="s">
        <v>127</v>
      </c>
      <c r="J23" s="11" t="s">
        <v>3317</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milscm_2023_009.sny_202310_backup_mt_yakko_atc5.nengetsu IS '年月';</v>
      </c>
    </row>
    <row r="24" spans="1:52" s="25" customFormat="1" ht="19.5" thickBot="1">
      <c r="A24" s="4"/>
      <c r="B24" s="27">
        <f>ROW()-12</f>
        <v>12</v>
      </c>
      <c r="C24" s="57" t="s">
        <v>3312</v>
      </c>
      <c r="D24" s="57" t="s">
        <v>1883</v>
      </c>
      <c r="E24" s="56"/>
      <c r="F24" s="56" t="s">
        <v>317</v>
      </c>
      <c r="G24" s="56" t="str">
        <f t="shared" si="3"/>
        <v>text</v>
      </c>
      <c r="H24" s="59"/>
      <c r="I24" s="60" t="s">
        <v>127</v>
      </c>
      <c r="J24" s="64" t="s">
        <v>2401</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ENT_01_A3-29</v>
      </c>
      <c r="E6" s="240"/>
      <c r="F6" s="240"/>
      <c r="G6" s="240"/>
      <c r="H6" s="240"/>
      <c r="I6" s="240"/>
      <c r="J6" s="241"/>
    </row>
    <row r="7" spans="1:45">
      <c r="B7" s="229" t="s">
        <v>115</v>
      </c>
      <c r="C7" s="230"/>
      <c r="D7" s="231" t="s">
        <v>3346</v>
      </c>
      <c r="E7" s="232"/>
      <c r="F7" s="232"/>
      <c r="G7" s="232"/>
      <c r="H7" s="232"/>
      <c r="I7" s="232"/>
      <c r="J7" s="233"/>
    </row>
    <row r="8" spans="1:45">
      <c r="B8" s="229" t="s">
        <v>116</v>
      </c>
      <c r="C8" s="230"/>
      <c r="D8" s="231" t="str">
        <f>エンティティ一覧!AE2&amp;"_"&amp;D5&amp;"_mt_shippei"</f>
        <v>sny_202310_backup_mt_shippei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疾病マスタテーブルから組入れ条件の第一条件で絞り込んだ結果を格納するテーブル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milscm_2023_009.sny_202310_backup_mt_shippei;</v>
      </c>
      <c r="O10" s="76"/>
      <c r="P10" s="76"/>
      <c r="Q10" s="76"/>
      <c r="R10" s="76"/>
      <c r="S10" s="76"/>
      <c r="T10" s="76"/>
      <c r="AJ10" s="76" t="str">
        <f>"ALTER TABLE ONLY "&amp;エンティティ一覧!$O$2&amp;"."&amp;D$8</f>
        <v>ALTER TABLE ONLY milscm_2023_009.sny_202310_backup_mt_shippei</v>
      </c>
      <c r="AS10" s="76" t="str">
        <f>"ALTER TABLE "&amp;エンティティ一覧!$O$2&amp;"."&amp;D$8&amp;" OWNER TO pgmisgrp1;"</f>
        <v>ALTER TABLE milscm_2023_009.sny_202310_backup_mt_shippei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milscm_2023_009.sny_202310_backup_mt_shippei</v>
      </c>
      <c r="O11" s="76"/>
      <c r="P11" s="76"/>
      <c r="Q11" s="76"/>
      <c r="R11" s="76"/>
      <c r="S11" s="76"/>
      <c r="T11" s="76"/>
      <c r="AJ11" s="76" t="str">
        <f>"ADD CONSTRAINT "&amp;D$8&amp;"_pkey PRIMARY KEY"</f>
        <v>ADD CONSTRAINT sny_202310_backup_mt_shippei_pkey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milscm_2023_009.sny_202310_backup_mt_shippei IS 'バックアップ_疾病マスタ';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3289</v>
      </c>
      <c r="D14" s="6" t="s">
        <v>2049</v>
      </c>
      <c r="E14" s="8" t="s">
        <v>127</v>
      </c>
      <c r="F14" s="7" t="s">
        <v>317</v>
      </c>
      <c r="G14" s="7" t="str">
        <f t="shared" ref="G14:G27" si="3">IF(F14="フラグ","boolean",IF(F14="文字列","text",IF(F14="整数","integer",IF(F14="実数","numeric",""))))</f>
        <v>text</v>
      </c>
      <c r="H14" s="26"/>
      <c r="I14" s="10" t="s">
        <v>127</v>
      </c>
      <c r="J14" s="11" t="s">
        <v>3314</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milscm_2023_009.sny_202310_backup_mt_shippei.koshin_kubun IS '更新区分';</v>
      </c>
    </row>
    <row r="15" spans="1:45" s="25" customFormat="1">
      <c r="A15" s="4"/>
      <c r="B15" s="21">
        <f t="shared" si="2"/>
        <v>3</v>
      </c>
      <c r="C15" s="6" t="s">
        <v>3347</v>
      </c>
      <c r="D15" s="6" t="s">
        <v>3348</v>
      </c>
      <c r="E15" s="8" t="s">
        <v>127</v>
      </c>
      <c r="F15" s="7" t="s">
        <v>317</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3349</v>
      </c>
      <c r="D16" s="6" t="s">
        <v>3350</v>
      </c>
      <c r="E16" s="8"/>
      <c r="F16" s="7" t="s">
        <v>317</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3351</v>
      </c>
      <c r="D17" s="6" t="s">
        <v>3352</v>
      </c>
      <c r="E17" s="8"/>
      <c r="F17" s="7" t="s">
        <v>317</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3353</v>
      </c>
      <c r="D18" s="6" t="s">
        <v>3354</v>
      </c>
      <c r="E18" s="8"/>
      <c r="F18" s="7" t="s">
        <v>317</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3355</v>
      </c>
      <c r="D19" s="6" t="s">
        <v>3356</v>
      </c>
      <c r="E19" s="8"/>
      <c r="F19" s="7" t="s">
        <v>317</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3357</v>
      </c>
      <c r="D20" s="6" t="s">
        <v>3358</v>
      </c>
      <c r="E20" s="8"/>
      <c r="F20" s="7" t="s">
        <v>317</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3359</v>
      </c>
      <c r="D21" s="6" t="s">
        <v>3360</v>
      </c>
      <c r="E21" s="8"/>
      <c r="F21" s="7" t="s">
        <v>317</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3361</v>
      </c>
      <c r="D22" s="6" t="s">
        <v>3362</v>
      </c>
      <c r="E22" s="8"/>
      <c r="F22" s="7" t="s">
        <v>317</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3363</v>
      </c>
      <c r="D23" s="6" t="s">
        <v>3364</v>
      </c>
      <c r="E23" s="8"/>
      <c r="F23" s="7" t="s">
        <v>317</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3365</v>
      </c>
      <c r="D24" s="6" t="s">
        <v>3366</v>
      </c>
      <c r="E24" s="8"/>
      <c r="F24" s="7" t="s">
        <v>317</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milscm_2023_009.sny_202310_backup_mt_shippei.shippei_name IS '疾病名';</v>
      </c>
    </row>
    <row r="25" spans="1:52" s="25" customFormat="1">
      <c r="A25" s="4"/>
      <c r="B25" s="21">
        <f t="shared" si="2"/>
        <v>13</v>
      </c>
      <c r="C25" s="6" t="s">
        <v>3308</v>
      </c>
      <c r="D25" s="6" t="s">
        <v>3309</v>
      </c>
      <c r="E25" s="8"/>
      <c r="F25" s="7" t="s">
        <v>317</v>
      </c>
      <c r="G25" s="7" t="str">
        <f t="shared" si="3"/>
        <v>text</v>
      </c>
      <c r="H25" s="26"/>
      <c r="I25" s="10" t="s">
        <v>127</v>
      </c>
      <c r="J25" s="11" t="s">
        <v>3316</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milscm_2023_009.sny_202310_backup_mt_shippei.nen IS '年';</v>
      </c>
    </row>
    <row r="26" spans="1:52" s="25" customFormat="1">
      <c r="A26" s="4"/>
      <c r="B26" s="21">
        <f t="shared" si="2"/>
        <v>14</v>
      </c>
      <c r="C26" s="6" t="s">
        <v>3310</v>
      </c>
      <c r="D26" s="6" t="s">
        <v>3311</v>
      </c>
      <c r="E26" s="8"/>
      <c r="F26" s="7" t="s">
        <v>317</v>
      </c>
      <c r="G26" s="7" t="str">
        <f t="shared" si="3"/>
        <v>text</v>
      </c>
      <c r="H26" s="26"/>
      <c r="I26" s="10" t="s">
        <v>127</v>
      </c>
      <c r="J26" s="11" t="s">
        <v>3317</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milscm_2023_009.sny_202310_backup_mt_shippei.nengetsu IS '年月';</v>
      </c>
    </row>
    <row r="27" spans="1:52" s="25" customFormat="1" ht="19.5" thickBot="1">
      <c r="A27" s="4"/>
      <c r="B27" s="27">
        <f>ROW()-12</f>
        <v>15</v>
      </c>
      <c r="C27" s="57" t="s">
        <v>3312</v>
      </c>
      <c r="D27" s="57" t="s">
        <v>1883</v>
      </c>
      <c r="E27" s="56"/>
      <c r="F27" s="56" t="s">
        <v>317</v>
      </c>
      <c r="G27" s="56" t="str">
        <f t="shared" si="3"/>
        <v>text</v>
      </c>
      <c r="H27" s="59"/>
      <c r="I27" s="60" t="s">
        <v>127</v>
      </c>
      <c r="J27" s="64" t="s">
        <v>2401</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ENT_01_A3-30</v>
      </c>
      <c r="E6" s="240"/>
      <c r="F6" s="240"/>
      <c r="G6" s="240"/>
      <c r="H6" s="240"/>
      <c r="I6" s="240"/>
      <c r="J6" s="241"/>
    </row>
    <row r="7" spans="1:45">
      <c r="B7" s="229" t="s">
        <v>115</v>
      </c>
      <c r="C7" s="230"/>
      <c r="D7" s="231" t="s">
        <v>3252</v>
      </c>
      <c r="E7" s="232"/>
      <c r="F7" s="232"/>
      <c r="G7" s="232"/>
      <c r="H7" s="232"/>
      <c r="I7" s="232"/>
      <c r="J7" s="233"/>
    </row>
    <row r="8" spans="1:45">
      <c r="B8" s="229" t="s">
        <v>116</v>
      </c>
      <c r="C8" s="230"/>
      <c r="D8" s="231" t="str">
        <f>エンティティ一覧!AE2&amp;"_"&amp;D5&amp;"_mt_icd10_l"</f>
        <v>sny_202310_backup_mt_icd10_l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ICD10大分類マスタテーブルから組入れ条件の第一条件で絞り込んだ結果を格納するテーブル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milscm_2023_009.sny_202310_backup_mt_icd10_l;</v>
      </c>
      <c r="O10" s="76"/>
      <c r="P10" s="76"/>
      <c r="Q10" s="76"/>
      <c r="R10" s="76"/>
      <c r="S10" s="76"/>
      <c r="T10" s="76"/>
      <c r="AJ10" s="76" t="str">
        <f>"ALTER TABLE ONLY "&amp;エンティティ一覧!$O$2&amp;"."&amp;D$8</f>
        <v>ALTER TABLE ONLY milscm_2023_009.sny_202310_backup_mt_icd10_l</v>
      </c>
      <c r="AS10" s="76" t="str">
        <f>"ALTER TABLE "&amp;エンティティ一覧!$O$2&amp;"."&amp;D$8&amp;" OWNER TO pgmisgrp1;"</f>
        <v>ALTER TABLE milscm_2023_009.sny_202310_backup_mt_icd10_l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milscm_2023_009.sny_202310_backup_mt_icd10_l</v>
      </c>
      <c r="O11" s="76"/>
      <c r="P11" s="76"/>
      <c r="Q11" s="76"/>
      <c r="R11" s="76"/>
      <c r="S11" s="76"/>
      <c r="T11" s="76"/>
      <c r="AJ11" s="76" t="str">
        <f>"ADD CONSTRAINT "&amp;D$8&amp;"_pkey PRIMARY KEY"</f>
        <v>ADD CONSTRAINT sny_202310_backup_mt_icd10_l_pkey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milscm_2023_009.sny_202310_backup_mt_icd10_l IS 'バックアップ_ICD10大分類マスタ';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milscm_2023_009.sny_202310_backup_mt_icd10_l.koshin_kubun IS '更新区分';</v>
      </c>
    </row>
    <row r="15" spans="1:45" s="25" customFormat="1">
      <c r="A15" s="4"/>
      <c r="B15" s="21">
        <f t="shared" si="2"/>
        <v>3</v>
      </c>
      <c r="C15" s="6" t="s">
        <v>2655</v>
      </c>
      <c r="D15" s="6" t="s">
        <v>3367</v>
      </c>
      <c r="E15" s="8" t="s">
        <v>127</v>
      </c>
      <c r="F15" s="7" t="s">
        <v>317</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2662</v>
      </c>
      <c r="D16" s="6" t="s">
        <v>2663</v>
      </c>
      <c r="E16" s="8"/>
      <c r="F16" s="7" t="s">
        <v>317</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3306</v>
      </c>
      <c r="D17" s="6" t="s">
        <v>3307</v>
      </c>
      <c r="E17" s="8"/>
      <c r="F17" s="7" t="s">
        <v>317</v>
      </c>
      <c r="G17" s="7" t="str">
        <f t="shared" si="3"/>
        <v>text</v>
      </c>
      <c r="H17" s="26"/>
      <c r="I17" s="10"/>
      <c r="J17" s="11" t="s">
        <v>3315</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milscm_2023_009.sny_202310_backup_mt_icd10_l.ikosaki IS '移行先';</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milscm_2023_009.sny_202310_backup_mt_icd10_l.nen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milscm_2023_009.sny_202310_backup_mt_icd10_l.nengetsu IS '年月';</v>
      </c>
    </row>
    <row r="20" spans="1:52" s="25" customFormat="1" ht="19.5"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ENT_01_A3-31</v>
      </c>
      <c r="E6" s="240"/>
      <c r="F6" s="240"/>
      <c r="G6" s="240"/>
      <c r="H6" s="240"/>
      <c r="I6" s="240"/>
      <c r="J6" s="241"/>
    </row>
    <row r="7" spans="1:45">
      <c r="B7" s="229" t="s">
        <v>115</v>
      </c>
      <c r="C7" s="230"/>
      <c r="D7" s="231" t="s">
        <v>3253</v>
      </c>
      <c r="E7" s="232"/>
      <c r="F7" s="232"/>
      <c r="G7" s="232"/>
      <c r="H7" s="232"/>
      <c r="I7" s="232"/>
      <c r="J7" s="233"/>
    </row>
    <row r="8" spans="1:45">
      <c r="B8" s="229" t="s">
        <v>116</v>
      </c>
      <c r="C8" s="230"/>
      <c r="D8" s="231" t="str">
        <f>エンティティ一覧!AE2&amp;"_"&amp;D5&amp;"_mt_icd10_m"</f>
        <v>sny_202310_backup_mt_icd10_m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ICD10中分類マスタテーブルから組入れ条件の第一条件で絞り込んだ結果を格納するテーブル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milscm_2023_009.sny_202310_backup_mt_icd10_m;</v>
      </c>
      <c r="O10" s="76"/>
      <c r="P10" s="76"/>
      <c r="Q10" s="76"/>
      <c r="R10" s="76"/>
      <c r="S10" s="76"/>
      <c r="T10" s="76"/>
      <c r="AJ10" s="76" t="str">
        <f>"ALTER TABLE ONLY "&amp;エンティティ一覧!$O$2&amp;"."&amp;D$8</f>
        <v>ALTER TABLE ONLY milscm_2023_009.sny_202310_backup_mt_icd10_m</v>
      </c>
      <c r="AS10" s="76" t="str">
        <f>"ALTER TABLE "&amp;エンティティ一覧!$O$2&amp;"."&amp;D$8&amp;" OWNER TO pgmisgrp1;"</f>
        <v>ALTER TABLE milscm_2023_009.sny_202310_backup_mt_icd10_m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milscm_2023_009.sny_202310_backup_mt_icd10_m</v>
      </c>
      <c r="O11" s="76"/>
      <c r="P11" s="76"/>
      <c r="Q11" s="76"/>
      <c r="R11" s="76"/>
      <c r="S11" s="76"/>
      <c r="T11" s="76"/>
      <c r="AJ11" s="76" t="str">
        <f>"ADD CONSTRAINT "&amp;D$8&amp;"_pkey PRIMARY KEY"</f>
        <v>ADD CONSTRAINT sny_202310_backup_mt_icd10_m_pkey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milscm_2023_009.sny_202310_backup_mt_icd10_m IS 'バックアップ_ICD10中分類マスタ';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3289</v>
      </c>
      <c r="D14" s="6" t="s">
        <v>2049</v>
      </c>
      <c r="E14" s="8" t="s">
        <v>127</v>
      </c>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milscm_2023_009.sny_202310_backup_mt_icd10_m.koshin_kubun IS '更新区分';</v>
      </c>
    </row>
    <row r="15" spans="1:45" s="25" customFormat="1">
      <c r="A15" s="4"/>
      <c r="B15" s="21">
        <f t="shared" si="2"/>
        <v>3</v>
      </c>
      <c r="C15" s="6" t="s">
        <v>2657</v>
      </c>
      <c r="D15" s="6" t="s">
        <v>3368</v>
      </c>
      <c r="E15" s="8" t="s">
        <v>127</v>
      </c>
      <c r="F15" s="7" t="s">
        <v>317</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2664</v>
      </c>
      <c r="D16" s="6" t="s">
        <v>2665</v>
      </c>
      <c r="E16" s="8"/>
      <c r="F16" s="7" t="s">
        <v>317</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2655</v>
      </c>
      <c r="D17" s="6" t="s">
        <v>3367</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3306</v>
      </c>
      <c r="D18" s="6" t="s">
        <v>3307</v>
      </c>
      <c r="E18" s="8"/>
      <c r="F18" s="7" t="s">
        <v>317</v>
      </c>
      <c r="G18" s="7" t="str">
        <f t="shared" ref="G18" si="7">IF(F18="フラグ","boolean",IF(F18="文字列","text",IF(F18="整数","integer",IF(F18="実数","numeric",""))))</f>
        <v>text</v>
      </c>
      <c r="H18" s="26"/>
      <c r="I18" s="10"/>
      <c r="J18" s="11" t="s">
        <v>3315</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milscm_2023_009.sny_202310_backup_mt_icd10_m.ikosaki IS '移行先';</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milscm_2023_009.sny_202310_backup_mt_icd10_m.nen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milscm_2023_009.sny_202310_backup_mt_icd10_m.nengetsu IS '年月';</v>
      </c>
    </row>
    <row r="21" spans="1:52" s="25" customFormat="1" ht="19.5" thickBot="1">
      <c r="A21" s="4"/>
      <c r="B21" s="27">
        <f>ROW()-12</f>
        <v>9</v>
      </c>
      <c r="C21" s="57" t="s">
        <v>3312</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ENT_01_A3-32</v>
      </c>
      <c r="E6" s="240"/>
      <c r="F6" s="240"/>
      <c r="G6" s="240"/>
      <c r="H6" s="240"/>
      <c r="I6" s="240"/>
      <c r="J6" s="241"/>
    </row>
    <row r="7" spans="1:45">
      <c r="B7" s="229" t="s">
        <v>115</v>
      </c>
      <c r="C7" s="230"/>
      <c r="D7" s="231" t="s">
        <v>3254</v>
      </c>
      <c r="E7" s="232"/>
      <c r="F7" s="232"/>
      <c r="G7" s="232"/>
      <c r="H7" s="232"/>
      <c r="I7" s="232"/>
      <c r="J7" s="233"/>
    </row>
    <row r="8" spans="1:45">
      <c r="B8" s="229" t="s">
        <v>116</v>
      </c>
      <c r="C8" s="230"/>
      <c r="D8" s="231" t="str">
        <f>エンティティ一覧!AE2&amp;"_"&amp;D5&amp;"_mt_icd10_s"</f>
        <v>sny_202310_backup_mt_icd10_s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ICD10小分類マスタテーブルから組入れ条件の第一条件で絞り込んだ結果を格納するテーブル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milscm_2023_009.sny_202310_backup_mt_icd10_s;</v>
      </c>
      <c r="O10" s="76"/>
      <c r="P10" s="76"/>
      <c r="Q10" s="76"/>
      <c r="R10" s="76"/>
      <c r="S10" s="76"/>
      <c r="T10" s="76"/>
      <c r="AJ10" s="76" t="str">
        <f>"ALTER TABLE ONLY "&amp;エンティティ一覧!$O$2&amp;"."&amp;D$8</f>
        <v>ALTER TABLE ONLY milscm_2023_009.sny_202310_backup_mt_icd10_s</v>
      </c>
      <c r="AS10" s="76" t="str">
        <f>"ALTER TABLE "&amp;エンティティ一覧!$O$2&amp;"."&amp;D$8&amp;" OWNER TO pgmisgrp1;"</f>
        <v>ALTER TABLE milscm_2023_009.sny_202310_backup_mt_icd10_s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milscm_2023_009.sny_202310_backup_mt_icd10_s</v>
      </c>
      <c r="O11" s="76"/>
      <c r="P11" s="76"/>
      <c r="Q11" s="76"/>
      <c r="R11" s="76"/>
      <c r="S11" s="76"/>
      <c r="T11" s="76"/>
      <c r="AJ11" s="76" t="str">
        <f>"ADD CONSTRAINT "&amp;D$8&amp;"_pkey PRIMARY KEY"</f>
        <v>ADD CONSTRAINT sny_202310_backup_mt_icd10_s_pkey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 IS 'バックアップ_ICD10小分類マスタ';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3289</v>
      </c>
      <c r="D14" s="6" t="s">
        <v>2049</v>
      </c>
      <c r="E14" s="8" t="s">
        <v>127</v>
      </c>
      <c r="F14" s="7" t="s">
        <v>317</v>
      </c>
      <c r="G14" s="7" t="str">
        <f t="shared" ref="G14:G22" si="3">IF(F14="フラグ","boolean",IF(F14="文字列","text",IF(F14="整数","integer",IF(F14="実数","numeric",""))))</f>
        <v>text</v>
      </c>
      <c r="H14" s="26"/>
      <c r="I14" s="10" t="s">
        <v>127</v>
      </c>
      <c r="J14" s="11" t="s">
        <v>3314</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milscm_2023_009.sny_202310_backup_mt_icd10_s.koshin_kubun IS '更新区分';</v>
      </c>
    </row>
    <row r="15" spans="1:45" s="25" customFormat="1">
      <c r="A15" s="4"/>
      <c r="B15" s="21">
        <f t="shared" si="2"/>
        <v>3</v>
      </c>
      <c r="C15" s="6" t="s">
        <v>2659</v>
      </c>
      <c r="D15" s="6" t="s">
        <v>3369</v>
      </c>
      <c r="E15" s="8" t="s">
        <v>127</v>
      </c>
      <c r="F15" s="7" t="s">
        <v>317</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2666</v>
      </c>
      <c r="D16" s="6" t="s">
        <v>895</v>
      </c>
      <c r="E16" s="8"/>
      <c r="F16" s="7" t="s">
        <v>317</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2655</v>
      </c>
      <c r="D17" s="6" t="s">
        <v>3367</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2657</v>
      </c>
      <c r="D18" s="6" t="s">
        <v>3368</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3306</v>
      </c>
      <c r="D19" s="6" t="s">
        <v>3307</v>
      </c>
      <c r="E19" s="8"/>
      <c r="F19" s="7" t="s">
        <v>317</v>
      </c>
      <c r="G19" s="7" t="str">
        <f t="shared" ref="G19" si="7">IF(F19="フラグ","boolean",IF(F19="文字列","text",IF(F19="整数","integer",IF(F19="実数","numeric",""))))</f>
        <v>text</v>
      </c>
      <c r="H19" s="26"/>
      <c r="I19" s="10"/>
      <c r="J19" s="11" t="s">
        <v>3315</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milscm_2023_009.sny_202310_backup_mt_icd10_s.ikosaki IS '移行先';</v>
      </c>
    </row>
    <row r="20" spans="1:52" s="25" customFormat="1">
      <c r="A20" s="4"/>
      <c r="B20" s="21">
        <f t="shared" si="2"/>
        <v>8</v>
      </c>
      <c r="C20" s="6" t="s">
        <v>3308</v>
      </c>
      <c r="D20" s="6" t="s">
        <v>3309</v>
      </c>
      <c r="E20" s="8"/>
      <c r="F20" s="7" t="s">
        <v>317</v>
      </c>
      <c r="G20" s="7" t="str">
        <f t="shared" si="3"/>
        <v>text</v>
      </c>
      <c r="H20" s="26"/>
      <c r="I20" s="10" t="s">
        <v>127</v>
      </c>
      <c r="J20" s="11" t="s">
        <v>3316</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milscm_2023_009.sny_202310_backup_mt_icd10_s.nen IS '年';</v>
      </c>
    </row>
    <row r="21" spans="1:52" s="25" customFormat="1">
      <c r="A21" s="4"/>
      <c r="B21" s="21">
        <f t="shared" si="2"/>
        <v>9</v>
      </c>
      <c r="C21" s="6" t="s">
        <v>3310</v>
      </c>
      <c r="D21" s="6" t="s">
        <v>3311</v>
      </c>
      <c r="E21" s="8"/>
      <c r="F21" s="7" t="s">
        <v>317</v>
      </c>
      <c r="G21" s="7" t="str">
        <f t="shared" si="3"/>
        <v>text</v>
      </c>
      <c r="H21" s="26"/>
      <c r="I21" s="10" t="s">
        <v>127</v>
      </c>
      <c r="J21" s="11" t="s">
        <v>3317</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milscm_2023_009.sny_202310_backup_mt_icd10_s.nengetsu IS '年月';</v>
      </c>
    </row>
    <row r="22" spans="1:52" s="25" customFormat="1" ht="19.5" thickBot="1">
      <c r="A22" s="4"/>
      <c r="B22" s="27">
        <f>ROW()-12</f>
        <v>10</v>
      </c>
      <c r="C22" s="57" t="s">
        <v>3312</v>
      </c>
      <c r="D22" s="57" t="s">
        <v>1883</v>
      </c>
      <c r="E22" s="56"/>
      <c r="F22" s="56" t="s">
        <v>317</v>
      </c>
      <c r="G22" s="56" t="str">
        <f t="shared" si="3"/>
        <v>text</v>
      </c>
      <c r="H22" s="59"/>
      <c r="I22" s="60" t="s">
        <v>127</v>
      </c>
      <c r="J22" s="64" t="s">
        <v>2401</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ENT_01_A3-33</v>
      </c>
      <c r="E6" s="240"/>
      <c r="F6" s="240"/>
      <c r="G6" s="240"/>
      <c r="H6" s="240"/>
      <c r="I6" s="240"/>
      <c r="J6" s="241"/>
    </row>
    <row r="7" spans="1:45">
      <c r="B7" s="229" t="s">
        <v>115</v>
      </c>
      <c r="C7" s="230"/>
      <c r="D7" s="231" t="s">
        <v>3255</v>
      </c>
      <c r="E7" s="232"/>
      <c r="F7" s="232"/>
      <c r="G7" s="232"/>
      <c r="H7" s="232"/>
      <c r="I7" s="232"/>
      <c r="J7" s="233"/>
    </row>
    <row r="8" spans="1:45">
      <c r="B8" s="229" t="s">
        <v>116</v>
      </c>
      <c r="C8" s="230"/>
      <c r="D8" s="231" t="str">
        <f>エンティティ一覧!AE2&amp;"_"&amp;D5&amp;"_mt_icd10_ss"</f>
        <v>sny_202310_backup_mt_icd10_ss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ICD10細分類マスタテーブルから組入れ条件の第一条件で絞り込んだ結果を格納するテーブル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milscm_2023_009.sny_202310_backup_mt_icd10_ss;</v>
      </c>
      <c r="O10" s="76"/>
      <c r="P10" s="76"/>
      <c r="Q10" s="76"/>
      <c r="R10" s="76"/>
      <c r="S10" s="76"/>
      <c r="T10" s="76"/>
      <c r="AJ10" s="76" t="str">
        <f>"ALTER TABLE ONLY "&amp;エンティティ一覧!$O$2&amp;"."&amp;D$8</f>
        <v>ALTER TABLE ONLY milscm_2023_009.sny_202310_backup_mt_icd10_ss</v>
      </c>
      <c r="AS10" s="76" t="str">
        <f>"ALTER TABLE "&amp;エンティティ一覧!$O$2&amp;"."&amp;D$8&amp;" OWNER TO pgmisgrp1;"</f>
        <v>ALTER TABLE milscm_2023_009.sny_202310_backup_mt_icd10_ss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milscm_2023_009.sny_202310_backup_mt_icd10_ss</v>
      </c>
      <c r="O11" s="76"/>
      <c r="P11" s="76"/>
      <c r="Q11" s="76"/>
      <c r="R11" s="76"/>
      <c r="S11" s="76"/>
      <c r="T11" s="76"/>
      <c r="AJ11" s="76" t="str">
        <f>"ADD CONSTRAINT "&amp;D$8&amp;"_pkey PRIMARY KEY"</f>
        <v>ADD CONSTRAINT sny_202310_backup_mt_icd10_ss_pkey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milscm_2023_009.sny_202310_backup_mt_icd10_ss IS 'バックアップ_ICD10細分類マスタ';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3289</v>
      </c>
      <c r="D14" s="6" t="s">
        <v>2049</v>
      </c>
      <c r="E14" s="8" t="s">
        <v>127</v>
      </c>
      <c r="F14" s="7" t="s">
        <v>317</v>
      </c>
      <c r="G14" s="7" t="str">
        <f t="shared" ref="G14:G23" si="3">IF(F14="フラグ","boolean",IF(F14="文字列","text",IF(F14="整数","integer",IF(F14="実数","numeric",""))))</f>
        <v>text</v>
      </c>
      <c r="H14" s="26"/>
      <c r="I14" s="10" t="s">
        <v>127</v>
      </c>
      <c r="J14" s="11" t="s">
        <v>3314</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2660</v>
      </c>
      <c r="D15" s="6" t="s">
        <v>3370</v>
      </c>
      <c r="E15" s="8" t="s">
        <v>127</v>
      </c>
      <c r="F15" s="7" t="s">
        <v>317</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2667</v>
      </c>
      <c r="D16" s="6" t="s">
        <v>2668</v>
      </c>
      <c r="E16" s="8"/>
      <c r="F16" s="7" t="s">
        <v>317</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2655</v>
      </c>
      <c r="D17" s="6" t="s">
        <v>3367</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2657</v>
      </c>
      <c r="D18" s="6" t="s">
        <v>3368</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2659</v>
      </c>
      <c r="D19" s="6" t="s">
        <v>3369</v>
      </c>
      <c r="E19" s="8"/>
      <c r="F19" s="7" t="s">
        <v>317</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3306</v>
      </c>
      <c r="D20" s="6" t="s">
        <v>3307</v>
      </c>
      <c r="E20" s="8"/>
      <c r="F20" s="7" t="s">
        <v>317</v>
      </c>
      <c r="G20" s="7" t="str">
        <f t="shared" si="3"/>
        <v>text</v>
      </c>
      <c r="H20" s="26"/>
      <c r="I20" s="10"/>
      <c r="J20" s="11" t="s">
        <v>3315</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milscm_2023_009.sny_202310_backup_mt_icd10_ss.ikosaki IS '移行先';</v>
      </c>
    </row>
    <row r="21" spans="1:52" s="25" customFormat="1">
      <c r="A21" s="4"/>
      <c r="B21" s="21">
        <f t="shared" si="2"/>
        <v>9</v>
      </c>
      <c r="C21" s="6" t="s">
        <v>3308</v>
      </c>
      <c r="D21" s="6" t="s">
        <v>3309</v>
      </c>
      <c r="E21" s="8"/>
      <c r="F21" s="7" t="s">
        <v>317</v>
      </c>
      <c r="G21" s="7" t="str">
        <f t="shared" si="3"/>
        <v>text</v>
      </c>
      <c r="H21" s="26"/>
      <c r="I21" s="10" t="s">
        <v>127</v>
      </c>
      <c r="J21" s="11" t="s">
        <v>3316</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milscm_2023_009.sny_202310_backup_mt_icd10_ss.nen IS '年';</v>
      </c>
    </row>
    <row r="22" spans="1:52" s="25" customFormat="1">
      <c r="A22" s="4"/>
      <c r="B22" s="21">
        <f t="shared" si="2"/>
        <v>10</v>
      </c>
      <c r="C22" s="6" t="s">
        <v>3310</v>
      </c>
      <c r="D22" s="6" t="s">
        <v>3311</v>
      </c>
      <c r="E22" s="8"/>
      <c r="F22" s="7" t="s">
        <v>317</v>
      </c>
      <c r="G22" s="7" t="str">
        <f t="shared" si="3"/>
        <v>text</v>
      </c>
      <c r="H22" s="26"/>
      <c r="I22" s="10" t="s">
        <v>127</v>
      </c>
      <c r="J22" s="11" t="s">
        <v>3317</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milscm_2023_009.sny_202310_backup_mt_icd10_ss.nengetsu IS '年月';</v>
      </c>
    </row>
    <row r="23" spans="1:52" s="25" customFormat="1" ht="19.5" thickBot="1">
      <c r="A23" s="4"/>
      <c r="B23" s="27">
        <f>ROW()-12</f>
        <v>11</v>
      </c>
      <c r="C23" s="57" t="s">
        <v>3312</v>
      </c>
      <c r="D23" s="57" t="s">
        <v>1883</v>
      </c>
      <c r="E23" s="56"/>
      <c r="F23" s="56" t="s">
        <v>317</v>
      </c>
      <c r="G23" s="56" t="str">
        <f t="shared" si="3"/>
        <v>text</v>
      </c>
      <c r="H23" s="59"/>
      <c r="I23" s="60" t="s">
        <v>127</v>
      </c>
      <c r="J23" s="64" t="s">
        <v>2401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ENT_01_A3-34</v>
      </c>
      <c r="E6" s="240"/>
      <c r="F6" s="240"/>
      <c r="G6" s="240"/>
      <c r="H6" s="240"/>
      <c r="I6" s="240"/>
      <c r="J6" s="241"/>
    </row>
    <row r="7" spans="1:45">
      <c r="B7" s="229" t="s">
        <v>115</v>
      </c>
      <c r="C7" s="230"/>
      <c r="D7" s="231" t="s">
        <v>3256</v>
      </c>
      <c r="E7" s="232"/>
      <c r="F7" s="232"/>
      <c r="G7" s="232"/>
      <c r="H7" s="232"/>
      <c r="I7" s="232"/>
      <c r="J7" s="233"/>
    </row>
    <row r="8" spans="1:45">
      <c r="B8" s="229" t="s">
        <v>116</v>
      </c>
      <c r="C8" s="230"/>
      <c r="D8" s="231" t="str">
        <f>エンティティ一覧!AE2&amp;"_"&amp;D5&amp;"_mt_dpc2"</f>
        <v>sny_202310_backup_mt_dpc2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DPC2桁マスタテーブルから組入れ条件の第一条件で絞り込んだ結果を格納するテーブル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milscm_2023_009.sny_202310_backup_mt_dpc2;</v>
      </c>
      <c r="O10" s="76"/>
      <c r="P10" s="76"/>
      <c r="Q10" s="76"/>
      <c r="R10" s="76"/>
      <c r="S10" s="76"/>
      <c r="T10" s="76"/>
      <c r="AJ10" s="76" t="str">
        <f>"ALTER TABLE ONLY "&amp;エンティティ一覧!$O$2&amp;"."&amp;D$8</f>
        <v>ALTER TABLE ONLY milscm_2023_009.sny_202310_backup_mt_dpc2</v>
      </c>
      <c r="AS10" s="76" t="str">
        <f>"ALTER TABLE "&amp;エンティティ一覧!$O$2&amp;"."&amp;D$8&amp;" OWNER TO pgmisgrp1;"</f>
        <v>ALTER TABLE milscm_2023_009.sny_202310_backup_mt_dpc2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milscm_2023_009.sny_202310_backup_mt_dpc2</v>
      </c>
      <c r="O11" s="76"/>
      <c r="P11" s="76"/>
      <c r="Q11" s="76"/>
      <c r="R11" s="76"/>
      <c r="S11" s="76"/>
      <c r="T11" s="76"/>
      <c r="AJ11" s="76" t="str">
        <f>"ADD CONSTRAINT "&amp;D$8&amp;"_pkey PRIMARY KEY"</f>
        <v>ADD CONSTRAINT sny_202310_backup_mt_dpc2_pkey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milscm_2023_009.sny_202310_backup_mt_dpc2 IS 'バックアップ_DPC2桁マスタ';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3371</v>
      </c>
      <c r="D14" s="6" t="s">
        <v>1929</v>
      </c>
      <c r="E14" s="8"/>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milscm_2023_009.sny_202310_backup_mt_dpc2.henkou_kubun IS '変更区分';</v>
      </c>
    </row>
    <row r="15" spans="1:45" s="25" customFormat="1">
      <c r="A15" s="4"/>
      <c r="B15" s="21">
        <f t="shared" si="2"/>
        <v>3</v>
      </c>
      <c r="C15" s="6" t="s">
        <v>1930</v>
      </c>
      <c r="D15" s="6" t="s">
        <v>3372</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milscm_2023_009.sny_202310_backup_mt_dpc2.dpc2_code IS 'DPCコード2桁';</v>
      </c>
    </row>
    <row r="16" spans="1:45" s="25" customFormat="1">
      <c r="A16" s="4"/>
      <c r="B16" s="21">
        <f t="shared" si="2"/>
        <v>4</v>
      </c>
      <c r="C16" s="6" t="s">
        <v>2644</v>
      </c>
      <c r="D16" s="6" t="s">
        <v>2645</v>
      </c>
      <c r="E16" s="8"/>
      <c r="F16" s="7" t="s">
        <v>317</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milscm_2023_009.sny_202310_backup_mt_dpc2.dpc2_name IS 'DPC2桁名';</v>
      </c>
    </row>
    <row r="17" spans="1:52" s="25" customFormat="1">
      <c r="A17" s="4"/>
      <c r="B17" s="21">
        <f t="shared" si="2"/>
        <v>5</v>
      </c>
      <c r="C17" s="6" t="s">
        <v>3306</v>
      </c>
      <c r="D17" s="6" t="s">
        <v>3307</v>
      </c>
      <c r="E17" s="8"/>
      <c r="F17" s="7" t="s">
        <v>317</v>
      </c>
      <c r="G17" s="7" t="str">
        <f t="shared" si="3"/>
        <v>text</v>
      </c>
      <c r="H17" s="26"/>
      <c r="I17" s="10"/>
      <c r="J17" s="11" t="s">
        <v>3315</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milscm_2023_009.sny_202310_backup_mt_dpc2.ikosaki IS '移行先';</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milscm_2023_009.sny_202310_backup_mt_dpc2.nen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milscm_2023_009.sny_202310_backup_mt_dpc2.nengetsu IS '年月';</v>
      </c>
    </row>
    <row r="20" spans="1:52" s="25" customFormat="1" ht="19.5"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ENT_01_A3-35</v>
      </c>
      <c r="E6" s="240"/>
      <c r="F6" s="240"/>
      <c r="G6" s="240"/>
      <c r="H6" s="240"/>
      <c r="I6" s="240"/>
      <c r="J6" s="241"/>
    </row>
    <row r="7" spans="1:45">
      <c r="B7" s="229" t="s">
        <v>115</v>
      </c>
      <c r="C7" s="230"/>
      <c r="D7" s="231" t="s">
        <v>3373</v>
      </c>
      <c r="E7" s="232"/>
      <c r="F7" s="232"/>
      <c r="G7" s="232"/>
      <c r="H7" s="232"/>
      <c r="I7" s="232"/>
      <c r="J7" s="233"/>
    </row>
    <row r="8" spans="1:45">
      <c r="B8" s="229" t="s">
        <v>116</v>
      </c>
      <c r="C8" s="230"/>
      <c r="D8" s="231" t="str">
        <f>エンティティ一覧!AE2&amp;"_"&amp;D5&amp;"_mt_dpc6"</f>
        <v>sny_202310_backup_mt_dpc6</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DPC6桁マスタテーブルから組入れ条件の第一条件で絞り込んだ結果を格納するテーブル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milscm_2023_009.sny_202310_backup_mt_dpc6;</v>
      </c>
      <c r="O10" s="76"/>
      <c r="P10" s="76"/>
      <c r="Q10" s="76"/>
      <c r="R10" s="76"/>
      <c r="S10" s="76"/>
      <c r="T10" s="76"/>
      <c r="AJ10" s="76" t="str">
        <f>"ALTER TABLE ONLY "&amp;エンティティ一覧!$O$2&amp;"."&amp;D$8</f>
        <v>ALTER TABLE ONLY milscm_2023_009.sny_202310_backup_mt_dpc6</v>
      </c>
      <c r="AS10" s="76" t="str">
        <f>"ALTER TABLE "&amp;エンティティ一覧!$O$2&amp;"."&amp;D$8&amp;" OWNER TO pgmisgrp1;"</f>
        <v>ALTER TABLE milscm_2023_009.sny_202310_backup_mt_dpc6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milscm_2023_009.sny_202310_backup_mt_dpc6</v>
      </c>
      <c r="O11" s="76"/>
      <c r="P11" s="76"/>
      <c r="Q11" s="76"/>
      <c r="R11" s="76"/>
      <c r="S11" s="76"/>
      <c r="T11" s="76"/>
      <c r="AJ11" s="76" t="str">
        <f>"ADD CONSTRAINT "&amp;D$8&amp;"_pkey PRIMARY KEY"</f>
        <v>ADD CONSTRAINT sny_202310_backup_mt_dpc6_pkey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 IS 'バックアップ_DPC6桁マスタ';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3371</v>
      </c>
      <c r="D14" s="6" t="s">
        <v>1929</v>
      </c>
      <c r="E14" s="8"/>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milscm_2023_009.sny_202310_backup_mt_dpc6.henkou_kubun IS '変更区分';</v>
      </c>
    </row>
    <row r="15" spans="1:45" s="25" customFormat="1">
      <c r="A15" s="4"/>
      <c r="B15" s="21">
        <f t="shared" si="2"/>
        <v>3</v>
      </c>
      <c r="C15" s="6" t="s">
        <v>1930</v>
      </c>
      <c r="D15" s="6" t="s">
        <v>3372</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milscm_2023_009.sny_202310_backup_mt_dpc6.dpc2_code IS 'DPCコード2桁';</v>
      </c>
    </row>
    <row r="16" spans="1:45" s="25" customFormat="1">
      <c r="A16" s="4"/>
      <c r="B16" s="21">
        <f t="shared" si="2"/>
        <v>4</v>
      </c>
      <c r="C16" s="6" t="s">
        <v>3374</v>
      </c>
      <c r="D16" s="6" t="s">
        <v>3375</v>
      </c>
      <c r="E16" s="8" t="s">
        <v>127</v>
      </c>
      <c r="F16" s="7" t="s">
        <v>317</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milscm_2023_009.sny_202310_backup_mt_dpc6.dpc4_code IS 'DPCコード4桁';</v>
      </c>
    </row>
    <row r="17" spans="1:52" s="25" customFormat="1">
      <c r="A17" s="4"/>
      <c r="B17" s="21">
        <f t="shared" si="2"/>
        <v>5</v>
      </c>
      <c r="C17" s="6" t="s">
        <v>2646</v>
      </c>
      <c r="D17" s="6" t="s">
        <v>2647</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milscm_2023_009.sny_202310_backup_mt_dpc6.dpc6_name IS 'DPC6桁名';</v>
      </c>
    </row>
    <row r="18" spans="1:52" s="25" customFormat="1">
      <c r="A18" s="4"/>
      <c r="B18" s="21">
        <f t="shared" si="2"/>
        <v>6</v>
      </c>
      <c r="C18" s="6" t="s">
        <v>3306</v>
      </c>
      <c r="D18" s="6" t="s">
        <v>3307</v>
      </c>
      <c r="E18" s="8"/>
      <c r="F18" s="7" t="s">
        <v>317</v>
      </c>
      <c r="G18" s="7" t="str">
        <f t="shared" si="3"/>
        <v>text</v>
      </c>
      <c r="H18" s="26"/>
      <c r="I18" s="10"/>
      <c r="J18" s="11" t="s">
        <v>3315</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milscm_2023_009.sny_202310_backup_mt_dpc6.ikosaki IS '移行先';</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milscm_2023_009.sny_202310_backup_mt_dpc6.nengetsu IS '年月';</v>
      </c>
    </row>
    <row r="21" spans="1:52" s="25" customFormat="1" ht="19.5" thickBot="1">
      <c r="A21" s="4"/>
      <c r="B21" s="27">
        <f>ROW()-12</f>
        <v>9</v>
      </c>
      <c r="C21" s="57" t="s">
        <v>3312</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ENT_01_A3-36</v>
      </c>
      <c r="E6" s="240"/>
      <c r="F6" s="240"/>
      <c r="G6" s="240"/>
      <c r="H6" s="240"/>
      <c r="I6" s="240"/>
      <c r="J6" s="241"/>
    </row>
    <row r="7" spans="1:45">
      <c r="B7" s="229" t="s">
        <v>115</v>
      </c>
      <c r="C7" s="230"/>
      <c r="D7" s="231" t="s">
        <v>3376</v>
      </c>
      <c r="E7" s="232"/>
      <c r="F7" s="232"/>
      <c r="G7" s="232"/>
      <c r="H7" s="232"/>
      <c r="I7" s="232"/>
      <c r="J7" s="233"/>
    </row>
    <row r="8" spans="1:45">
      <c r="B8" s="229" t="s">
        <v>116</v>
      </c>
      <c r="C8" s="230"/>
      <c r="D8" s="231" t="str">
        <f>エンティティ一覧!AE2&amp;"_"&amp;D5&amp;"_mt_postal"</f>
        <v>sny_202310_backup_mt_postal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郵便番号マスタテーブルから組入れ条件の第一条件で絞り込んだ結果を格納するテーブル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milscm_2023_009.sny_202310_backup_mt_postal;</v>
      </c>
      <c r="O10" s="76"/>
      <c r="P10" s="76"/>
      <c r="Q10" s="76"/>
      <c r="R10" s="76"/>
      <c r="S10" s="76"/>
      <c r="T10" s="76"/>
      <c r="AJ10" s="76" t="str">
        <f>"ALTER TABLE ONLY "&amp;エンティティ一覧!$O$2&amp;"."&amp;D$8</f>
        <v>ALTER TABLE ONLY milscm_2023_009.sny_202310_backup_mt_postal</v>
      </c>
      <c r="AS10" s="76" t="str">
        <f>"ALTER TABLE "&amp;エンティティ一覧!$O$2&amp;"."&amp;D$8&amp;" OWNER TO pgmisgrp1;"</f>
        <v>ALTER TABLE milscm_2023_009.sny_202310_backup_mt_postal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milscm_2023_009.sny_202310_backup_mt_postal</v>
      </c>
      <c r="O11" s="76"/>
      <c r="P11" s="76"/>
      <c r="Q11" s="76"/>
      <c r="R11" s="76"/>
      <c r="S11" s="76"/>
      <c r="T11" s="76"/>
      <c r="AJ11" s="76" t="str">
        <f>"ADD CONSTRAINT "&amp;D$8&amp;"_pkey PRIMARY KEY"</f>
        <v>ADD CONSTRAINT sny_202310_backup_mt_postal_pkey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milscm_2023_009.sny_202310_backup_mt_postal IS 'バックアップ_郵便番号マスタ';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3289</v>
      </c>
      <c r="D14" s="6" t="s">
        <v>2049</v>
      </c>
      <c r="E14" s="8" t="s">
        <v>127</v>
      </c>
      <c r="F14" s="7" t="s">
        <v>317</v>
      </c>
      <c r="G14" s="7" t="str">
        <f t="shared" ref="G14:G32" si="3">IF(F14="フラグ","boolean",IF(F14="文字列","text",IF(F14="整数","integer",IF(F14="実数","numeric",""))))</f>
        <v>text</v>
      </c>
      <c r="H14" s="26"/>
      <c r="I14" s="10" t="s">
        <v>127</v>
      </c>
      <c r="J14" s="11" t="s">
        <v>3314</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milscm_2023_009.sny_202310_backup_mt_postal.koshin_kubun IS '更新区分';</v>
      </c>
    </row>
    <row r="15" spans="1:45" s="25" customFormat="1">
      <c r="A15" s="4"/>
      <c r="B15" s="21">
        <f t="shared" si="2"/>
        <v>3</v>
      </c>
      <c r="C15" s="6" t="s">
        <v>3069</v>
      </c>
      <c r="D15" s="6" t="s">
        <v>3377</v>
      </c>
      <c r="E15" s="8" t="s">
        <v>127</v>
      </c>
      <c r="F15" s="7" t="s">
        <v>317</v>
      </c>
      <c r="G15" s="7" t="str">
        <f t="shared" si="3"/>
        <v>text</v>
      </c>
      <c r="H15" s="26"/>
      <c r="I15" s="10" t="s">
        <v>127</v>
      </c>
      <c r="J15" s="11" t="s">
        <v>3395</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milscm_2023_009.sny_202310_backup_mt_postal.postal_code IS '郵便番号';</v>
      </c>
    </row>
    <row r="16" spans="1:45" s="25" customFormat="1">
      <c r="A16" s="4"/>
      <c r="B16" s="21">
        <f t="shared" si="2"/>
        <v>4</v>
      </c>
      <c r="C16" s="6" t="s">
        <v>1898</v>
      </c>
      <c r="D16" s="6" t="s">
        <v>3378</v>
      </c>
      <c r="E16" s="8" t="s">
        <v>127</v>
      </c>
      <c r="F16" s="7" t="s">
        <v>317</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1901</v>
      </c>
      <c r="D17" s="6" t="s">
        <v>1902</v>
      </c>
      <c r="E17" s="8" t="s">
        <v>127</v>
      </c>
      <c r="F17" s="7" t="s">
        <v>317</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3379</v>
      </c>
      <c r="D18" s="6" t="s">
        <v>3380</v>
      </c>
      <c r="E18" s="8"/>
      <c r="F18" s="7" t="s">
        <v>317</v>
      </c>
      <c r="G18" s="7" t="str">
        <f t="shared" ref="G18:G28" si="7">IF(F18="フラグ","boolean",IF(F18="文字列","text",IF(F18="整数","integer",IF(F18="実数","numeric",""))))</f>
        <v>text</v>
      </c>
      <c r="H18" s="26"/>
      <c r="I18" s="10" t="s">
        <v>127</v>
      </c>
      <c r="J18" s="11" t="s">
        <v>3396</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milscm_2023_009.sny_202310_backup_mt_postal.town_code IS '町域コード';</v>
      </c>
    </row>
    <row r="19" spans="1:45" s="25" customFormat="1">
      <c r="A19" s="4"/>
      <c r="B19" s="21">
        <f t="shared" si="2"/>
        <v>7</v>
      </c>
      <c r="C19" s="6" t="s">
        <v>918</v>
      </c>
      <c r="D19" s="6" t="s">
        <v>919</v>
      </c>
      <c r="E19" s="8"/>
      <c r="F19" s="7" t="s">
        <v>317</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milscm_2023_009.sny_202310_backup_mt_postal.prefecture IS '都道府県';</v>
      </c>
    </row>
    <row r="20" spans="1:45" s="25" customFormat="1">
      <c r="A20" s="4"/>
      <c r="B20" s="21">
        <f t="shared" si="2"/>
        <v>8</v>
      </c>
      <c r="C20" s="6" t="s">
        <v>3381</v>
      </c>
      <c r="D20" s="6" t="s">
        <v>3382</v>
      </c>
      <c r="E20" s="8"/>
      <c r="F20" s="7" t="s">
        <v>317</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1903</v>
      </c>
      <c r="D21" s="6" t="s">
        <v>1904</v>
      </c>
      <c r="E21" s="8"/>
      <c r="F21" s="7" t="s">
        <v>317</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milscm_2023_009.sny_202310_backup_mt_postal.city IS '市区町村';</v>
      </c>
    </row>
    <row r="22" spans="1:45" s="25" customFormat="1">
      <c r="A22" s="4"/>
      <c r="B22" s="21">
        <f t="shared" si="2"/>
        <v>10</v>
      </c>
      <c r="C22" s="6" t="s">
        <v>3383</v>
      </c>
      <c r="D22" s="6" t="s">
        <v>3384</v>
      </c>
      <c r="E22" s="8"/>
      <c r="F22" s="7" t="s">
        <v>317</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3385</v>
      </c>
      <c r="D23" s="6" t="s">
        <v>3066</v>
      </c>
      <c r="E23" s="8"/>
      <c r="F23" s="7" t="s">
        <v>317</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milscm_2023_009.sny_202310_backup_mt_postal.town IS '町域';</v>
      </c>
    </row>
    <row r="24" spans="1:45" s="25" customFormat="1">
      <c r="A24" s="4"/>
      <c r="B24" s="21">
        <f t="shared" si="2"/>
        <v>12</v>
      </c>
      <c r="C24" s="6" t="s">
        <v>3386</v>
      </c>
      <c r="D24" s="6" t="s">
        <v>3387</v>
      </c>
      <c r="E24" s="8"/>
      <c r="F24" s="7" t="s">
        <v>317</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milscm_2023_009.sny_202310_backup_mt_postal.town_kana IS '町域カナ';</v>
      </c>
    </row>
    <row r="25" spans="1:45" s="25" customFormat="1">
      <c r="A25" s="4"/>
      <c r="B25" s="21">
        <f t="shared" si="2"/>
        <v>13</v>
      </c>
      <c r="C25" s="6" t="s">
        <v>3388</v>
      </c>
      <c r="D25" s="6" t="s">
        <v>3389</v>
      </c>
      <c r="E25" s="8"/>
      <c r="F25" s="7" t="s">
        <v>317</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milscm_2023_009.sny_202310_backup_mt_postal.town_hosoku IS '町域補足';</v>
      </c>
    </row>
    <row r="26" spans="1:45" s="25" customFormat="1">
      <c r="A26" s="4"/>
      <c r="B26" s="21">
        <f t="shared" si="2"/>
        <v>14</v>
      </c>
      <c r="C26" s="6" t="s">
        <v>3390</v>
      </c>
      <c r="D26" s="6" t="s">
        <v>3391</v>
      </c>
      <c r="E26" s="8"/>
      <c r="F26" s="7" t="s">
        <v>317</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3392</v>
      </c>
      <c r="D27" s="6" t="s">
        <v>3068</v>
      </c>
      <c r="E27" s="8"/>
      <c r="F27" s="7" t="s">
        <v>317</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milscm_2023_009.sny_202310_backup_mt_postal.home_number IS '字丁目';</v>
      </c>
    </row>
    <row r="28" spans="1:45" s="25" customFormat="1">
      <c r="A28" s="4"/>
      <c r="B28" s="21">
        <f t="shared" si="2"/>
        <v>16</v>
      </c>
      <c r="C28" s="6" t="s">
        <v>3393</v>
      </c>
      <c r="D28" s="6" t="s">
        <v>3394</v>
      </c>
      <c r="E28" s="8"/>
      <c r="F28" s="7" t="s">
        <v>317</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milscm_2023_009.sny_202310_backup_mt_postal.home_number_kana IS '字丁目カナ';</v>
      </c>
    </row>
    <row r="29" spans="1:45" s="25" customFormat="1" ht="37.5">
      <c r="A29" s="4"/>
      <c r="B29" s="21">
        <f t="shared" si="2"/>
        <v>17</v>
      </c>
      <c r="C29" s="6" t="s">
        <v>3306</v>
      </c>
      <c r="D29" s="6" t="s">
        <v>3307</v>
      </c>
      <c r="E29" s="8"/>
      <c r="F29" s="7" t="s">
        <v>317</v>
      </c>
      <c r="G29" s="7" t="str">
        <f t="shared" si="3"/>
        <v>text</v>
      </c>
      <c r="H29" s="26"/>
      <c r="I29" s="10"/>
      <c r="J29" s="11" t="s">
        <v>3397</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milscm_2023_009.sny_202310_backup_mt_postal.ikosaki IS '移行先';</v>
      </c>
    </row>
    <row r="30" spans="1:45" s="25" customFormat="1">
      <c r="A30" s="4"/>
      <c r="B30" s="21">
        <f t="shared" si="2"/>
        <v>18</v>
      </c>
      <c r="C30" s="6" t="s">
        <v>3308</v>
      </c>
      <c r="D30" s="6" t="s">
        <v>3309</v>
      </c>
      <c r="E30" s="8"/>
      <c r="F30" s="7" t="s">
        <v>317</v>
      </c>
      <c r="G30" s="7" t="str">
        <f t="shared" si="3"/>
        <v>text</v>
      </c>
      <c r="H30" s="26"/>
      <c r="I30" s="10" t="s">
        <v>127</v>
      </c>
      <c r="J30" s="11" t="s">
        <v>3316</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milscm_2023_009.sny_202310_backup_mt_postal.nen IS '年';</v>
      </c>
    </row>
    <row r="31" spans="1:45" s="25" customFormat="1">
      <c r="A31" s="4"/>
      <c r="B31" s="21">
        <f t="shared" si="2"/>
        <v>19</v>
      </c>
      <c r="C31" s="6" t="s">
        <v>3310</v>
      </c>
      <c r="D31" s="6" t="s">
        <v>3311</v>
      </c>
      <c r="E31" s="8"/>
      <c r="F31" s="7" t="s">
        <v>317</v>
      </c>
      <c r="G31" s="7" t="str">
        <f t="shared" si="3"/>
        <v>text</v>
      </c>
      <c r="H31" s="26"/>
      <c r="I31" s="10" t="s">
        <v>127</v>
      </c>
      <c r="J31" s="11" t="s">
        <v>3317</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milscm_2023_009.sny_202310_backup_mt_postal.nengetsu IS '年月';</v>
      </c>
    </row>
    <row r="32" spans="1:45" s="25" customFormat="1" ht="19.5" thickBot="1">
      <c r="A32" s="4"/>
      <c r="B32" s="27">
        <f>ROW()-12</f>
        <v>20</v>
      </c>
      <c r="C32" s="57" t="s">
        <v>3312</v>
      </c>
      <c r="D32" s="57" t="s">
        <v>1883</v>
      </c>
      <c r="E32" s="56"/>
      <c r="F32" s="56" t="s">
        <v>317</v>
      </c>
      <c r="G32" s="56" t="str">
        <f t="shared" si="3"/>
        <v>text</v>
      </c>
      <c r="H32" s="59"/>
      <c r="I32" s="60" t="s">
        <v>127</v>
      </c>
      <c r="J32" s="64" t="s">
        <v>2401</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ENT_01_A3-37</v>
      </c>
      <c r="E6" s="240"/>
      <c r="F6" s="240"/>
      <c r="G6" s="240"/>
      <c r="H6" s="240"/>
      <c r="I6" s="240"/>
      <c r="J6" s="241"/>
    </row>
    <row r="7" spans="1:45">
      <c r="B7" s="229" t="s">
        <v>115</v>
      </c>
      <c r="C7" s="230"/>
      <c r="D7" s="231" t="s">
        <v>3398</v>
      </c>
      <c r="E7" s="232"/>
      <c r="F7" s="232"/>
      <c r="G7" s="232"/>
      <c r="H7" s="232"/>
      <c r="I7" s="232"/>
      <c r="J7" s="233"/>
    </row>
    <row r="8" spans="1:45">
      <c r="B8" s="229" t="s">
        <v>116</v>
      </c>
      <c r="C8" s="230"/>
      <c r="D8" s="231" t="str">
        <f>エンティティ一覧!AE2&amp;"_"&amp;D5&amp;"_mt_tokutei_kizai"</f>
        <v>sny_202310_backup_mt_tokutei_kizai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特定機材マスタテーブルから組入れ条件の第一条件で絞り込んだ結果を格納するテーブル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milscm_2023_009.sny_202310_backup_mt_tokutei_kizai;</v>
      </c>
      <c r="O10" s="76"/>
      <c r="P10" s="76"/>
      <c r="Q10" s="76"/>
      <c r="R10" s="76"/>
      <c r="S10" s="76"/>
      <c r="T10" s="76"/>
      <c r="AJ10" s="76" t="str">
        <f>"ALTER TABLE ONLY "&amp;エンティティ一覧!$O$2&amp;"."&amp;D$8</f>
        <v>ALTER TABLE ONLY milscm_2023_009.sny_202310_backup_mt_tokutei_kizai</v>
      </c>
      <c r="AS10" s="76" t="str">
        <f>"ALTER TABLE "&amp;エンティティ一覧!$O$2&amp;"."&amp;D$8&amp;" OWNER TO pgmisgrp1;"</f>
        <v>ALTER TABLE milscm_2023_009.sny_202310_backup_mt_tokutei_kizai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milscm_2023_009.sny_202310_backup_mt_tokutei_kizai</v>
      </c>
      <c r="O11" s="76"/>
      <c r="P11" s="76"/>
      <c r="Q11" s="76"/>
      <c r="R11" s="76"/>
      <c r="S11" s="76"/>
      <c r="T11" s="76"/>
      <c r="AJ11" s="76" t="str">
        <f>"ADD CONSTRAINT "&amp;D$8&amp;"_pkey PRIMARY KEY"</f>
        <v>ADD CONSTRAINT sny_202310_backup_mt_tokutei_kizai_pkey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3399</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3289</v>
      </c>
      <c r="D14" s="6" t="s">
        <v>2049</v>
      </c>
      <c r="E14" s="8" t="s">
        <v>127</v>
      </c>
      <c r="F14" s="7" t="s">
        <v>317</v>
      </c>
      <c r="G14" s="7" t="str">
        <f t="shared" ref="G14:G21" si="3">IF(F14="フラグ","boolean",IF(F14="文字列","text",IF(F14="整数","integer",IF(F14="実数","numeric",""))))</f>
        <v>text</v>
      </c>
      <c r="H14" s="26"/>
      <c r="I14" s="10" t="s">
        <v>127</v>
      </c>
      <c r="J14" s="11" t="s">
        <v>3402</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2632</v>
      </c>
      <c r="D15" s="6" t="s">
        <v>2633</v>
      </c>
      <c r="E15" s="8" t="s">
        <v>127</v>
      </c>
      <c r="F15" s="7" t="s">
        <v>317</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2634</v>
      </c>
      <c r="D16" s="6" t="s">
        <v>2635</v>
      </c>
      <c r="E16" s="8"/>
      <c r="F16" s="7" t="s">
        <v>317</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1653</v>
      </c>
      <c r="D17" s="6" t="s">
        <v>2636</v>
      </c>
      <c r="E17" s="8"/>
      <c r="F17" s="7" t="s">
        <v>317</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milscm_2023_009.sny_202310_backup_mt_tokutei_kizai.tokutei_kizai_tani IS '単位';</v>
      </c>
    </row>
    <row r="18" spans="1:52" s="25" customFormat="1" ht="37.5">
      <c r="A18" s="4"/>
      <c r="B18" s="21">
        <f t="shared" si="2"/>
        <v>6</v>
      </c>
      <c r="C18" s="6" t="s">
        <v>2637</v>
      </c>
      <c r="D18" s="6" t="s">
        <v>3400</v>
      </c>
      <c r="E18" s="8"/>
      <c r="F18" s="7" t="s">
        <v>332</v>
      </c>
      <c r="G18" s="7" t="str">
        <f t="shared" si="3"/>
        <v>numeric</v>
      </c>
      <c r="H18" s="26"/>
      <c r="I18" s="10" t="s">
        <v>127</v>
      </c>
      <c r="J18" s="11" t="s">
        <v>2397</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3401</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milscm_2023_009.sny_202310_backup_mt_tokutei_kizai.nen IS '年';</v>
      </c>
    </row>
    <row r="20" spans="1:52" s="25" customFormat="1">
      <c r="A20" s="4"/>
      <c r="B20" s="21">
        <f t="shared" si="2"/>
        <v>8</v>
      </c>
      <c r="C20" s="6" t="s">
        <v>2435</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milscm_2023_009.sny_202310_backup_mt_tokutei_kizai.nengetsu IS '年月';</v>
      </c>
    </row>
    <row r="21" spans="1:52" s="25" customFormat="1" ht="19.5" thickBot="1">
      <c r="A21" s="4"/>
      <c r="B21" s="27">
        <f>ROW()-12</f>
        <v>9</v>
      </c>
      <c r="C21" s="57" t="s">
        <v>2401</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ENT_01_A4-01</v>
      </c>
      <c r="E6" s="240"/>
      <c r="F6" s="240"/>
      <c r="G6" s="240"/>
      <c r="H6" s="240"/>
      <c r="I6" s="240"/>
      <c r="J6" s="241"/>
    </row>
    <row r="7" spans="1:45">
      <c r="B7" s="229" t="s">
        <v>115</v>
      </c>
      <c r="C7" s="230"/>
      <c r="D7" s="231" t="s">
        <v>2432</v>
      </c>
      <c r="E7" s="232"/>
      <c r="F7" s="232"/>
      <c r="G7" s="232"/>
      <c r="H7" s="232"/>
      <c r="I7" s="232"/>
      <c r="J7" s="233"/>
    </row>
    <row r="8" spans="1:45">
      <c r="B8" s="229" t="s">
        <v>116</v>
      </c>
      <c r="C8" s="230"/>
      <c r="D8" s="231" t="str">
        <f>エンティティ一覧!AE2&amp;"_"&amp;D5&amp;"_mt2_nendo"</f>
        <v>sny_202310_backup_mt2_nendo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年度マスタテーブルから組入れ条件の第一条件で絞り込んだ結果を格納するテーブル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milscm_2023_009.sny_202310_backup_mt2_nendo;</v>
      </c>
      <c r="O10" s="76"/>
      <c r="P10" s="76"/>
      <c r="Q10" s="76"/>
      <c r="R10" s="76"/>
      <c r="S10" s="76"/>
      <c r="T10" s="76"/>
      <c r="AJ10" s="76" t="str">
        <f>"ALTER TABLE ONLY "&amp;エンティティ一覧!$O$2&amp;"."&amp;D$8</f>
        <v>ALTER TABLE ONLY milscm_2023_009.sny_202310_backup_mt2_nendo</v>
      </c>
      <c r="AS10" s="76" t="str">
        <f>"ALTER TABLE "&amp;エンティティ一覧!$O$2&amp;"."&amp;D$8&amp;" OWNER TO pgmisgrp1;"</f>
        <v>ALTER TABLE milscm_2023_009.sny_202310_backup_mt2_nendo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milscm_2023_009.sny_202310_backup_mt2_nendo</v>
      </c>
      <c r="O11" s="76"/>
      <c r="P11" s="76"/>
      <c r="Q11" s="76"/>
      <c r="R11" s="76"/>
      <c r="S11" s="76"/>
      <c r="T11" s="76"/>
      <c r="AJ11" s="76" t="str">
        <f>"ADD CONSTRAINT "&amp;D$8&amp;"_pkey PRIMARY KEY"</f>
        <v>ADD CONSTRAINT sny_202310_backup_mt2_nendo_pkey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milscm_2023_009.sny_202310_backup_mt2_nendo IS 'バックアップ_年度マスタ';</v>
      </c>
    </row>
    <row r="13" spans="1:45" s="25" customFormat="1">
      <c r="A13" s="4"/>
      <c r="B13" s="21">
        <f>ROW()-12</f>
        <v>1</v>
      </c>
      <c r="C13" s="6" t="s">
        <v>2433</v>
      </c>
      <c r="D13" s="6" t="s">
        <v>2434</v>
      </c>
      <c r="E13" s="8"/>
      <c r="F13" s="8" t="s">
        <v>204</v>
      </c>
      <c r="G13" s="7" t="str">
        <f>IF(F13="フラグ","boolean",IF(F13="文字列","text",IF(F13="整数","integer",IF(F13="実数","numeric",""))))</f>
        <v>integer</v>
      </c>
      <c r="H13" s="9"/>
      <c r="I13" s="10" t="s">
        <v>127</v>
      </c>
      <c r="J13" s="11" t="s">
        <v>2447</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milscm_2023_009.sny_202310_backup_mt2_nendo.num IS '項番';</v>
      </c>
    </row>
    <row r="14" spans="1:45" s="25" customFormat="1">
      <c r="A14" s="4"/>
      <c r="B14" s="21">
        <f t="shared" ref="B14:B18" si="2">ROW()-12</f>
        <v>2</v>
      </c>
      <c r="C14" s="6" t="s">
        <v>2435</v>
      </c>
      <c r="D14" s="6" t="s">
        <v>2436</v>
      </c>
      <c r="E14" s="8" t="s">
        <v>127</v>
      </c>
      <c r="F14" s="7" t="s">
        <v>737</v>
      </c>
      <c r="G14" s="7" t="str">
        <f t="shared" ref="G14:G19" si="3">IF(F14="フラグ","boolean",IF(F14="文字列","text",IF(F14="整数","integer",IF(F14="実数","numeric",""))))</f>
        <v>text</v>
      </c>
      <c r="H14" s="26" t="s">
        <v>2448</v>
      </c>
      <c r="I14" s="10" t="s">
        <v>127</v>
      </c>
      <c r="J14" s="11" t="s">
        <v>2435</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milscm_2023_009.sny_202310_backup_mt2_nendo.ym IS '年月';</v>
      </c>
    </row>
    <row r="15" spans="1:45" s="25" customFormat="1">
      <c r="A15" s="4"/>
      <c r="B15" s="21">
        <f t="shared" si="2"/>
        <v>3</v>
      </c>
      <c r="C15" s="6" t="s">
        <v>2437</v>
      </c>
      <c r="D15" s="6" t="s">
        <v>2438</v>
      </c>
      <c r="E15" s="8"/>
      <c r="F15" s="7" t="s">
        <v>737</v>
      </c>
      <c r="G15" s="7" t="str">
        <f t="shared" ref="G15" si="7">IF(F15="フラグ","boolean",IF(F15="文字列","text",IF(F15="整数","integer",IF(F15="実数","numeric",""))))</f>
        <v>text</v>
      </c>
      <c r="H15" s="26" t="s">
        <v>2449</v>
      </c>
      <c r="I15" s="10" t="s">
        <v>127</v>
      </c>
      <c r="J15" s="11" t="s">
        <v>2450</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2439</v>
      </c>
      <c r="D16" s="6" t="s">
        <v>2440</v>
      </c>
      <c r="E16" s="8"/>
      <c r="F16" s="7" t="s">
        <v>737</v>
      </c>
      <c r="G16" s="7" t="str">
        <f t="shared" si="3"/>
        <v>text</v>
      </c>
      <c r="H16" s="26" t="s">
        <v>2449</v>
      </c>
      <c r="I16" s="10" t="s">
        <v>127</v>
      </c>
      <c r="J16" s="11" t="s">
        <v>2451</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milscm_2023_009.sny_202310_backup_mt2_nendo.nendo_4 IS '年度（4月始まり）';</v>
      </c>
    </row>
    <row r="17" spans="1:52" s="25" customFormat="1" ht="37.5">
      <c r="A17" s="4"/>
      <c r="B17" s="21">
        <f t="shared" si="2"/>
        <v>5</v>
      </c>
      <c r="C17" s="6" t="s">
        <v>2441</v>
      </c>
      <c r="D17" s="6" t="s">
        <v>2442</v>
      </c>
      <c r="E17" s="8"/>
      <c r="F17" s="7" t="s">
        <v>737</v>
      </c>
      <c r="G17" s="7" t="str">
        <f t="shared" si="3"/>
        <v>text</v>
      </c>
      <c r="H17" s="26" t="s">
        <v>2452</v>
      </c>
      <c r="I17" s="10" t="s">
        <v>127</v>
      </c>
      <c r="J17" s="11" t="s">
        <v>2453</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milscm_2023_009.sny_202310_backup_mt2_nendo.q1 IS '四半期（1月始まり）';</v>
      </c>
    </row>
    <row r="18" spans="1:52" s="25" customFormat="1" ht="37.5">
      <c r="A18" s="4"/>
      <c r="B18" s="21">
        <f t="shared" si="2"/>
        <v>6</v>
      </c>
      <c r="C18" s="6" t="s">
        <v>2443</v>
      </c>
      <c r="D18" s="6" t="s">
        <v>2444</v>
      </c>
      <c r="E18" s="8"/>
      <c r="F18" s="7" t="s">
        <v>737</v>
      </c>
      <c r="G18" s="7" t="str">
        <f t="shared" si="3"/>
        <v>text</v>
      </c>
      <c r="H18" s="26" t="s">
        <v>2452</v>
      </c>
      <c r="I18" s="10" t="s">
        <v>127</v>
      </c>
      <c r="J18" s="11" t="s">
        <v>2454</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milscm_2023_009.sny_202310_backup_mt2_nendo.q4 IS '四半期（4月始まり）';</v>
      </c>
    </row>
    <row r="19" spans="1:52" s="25" customFormat="1" ht="19.5" thickBot="1">
      <c r="A19" s="4"/>
      <c r="B19" s="27">
        <f>ROW()-12</f>
        <v>7</v>
      </c>
      <c r="C19" s="57" t="s">
        <v>2445</v>
      </c>
      <c r="D19" s="57" t="s">
        <v>2446</v>
      </c>
      <c r="E19" s="56"/>
      <c r="F19" s="56" t="s">
        <v>204</v>
      </c>
      <c r="G19" s="56" t="str">
        <f t="shared" si="3"/>
        <v>integer</v>
      </c>
      <c r="H19" s="59">
        <v>0</v>
      </c>
      <c r="I19" s="60" t="s">
        <v>127</v>
      </c>
      <c r="J19" s="64" t="s">
        <v>2455</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ENT_01_A4-02</v>
      </c>
      <c r="E6" s="240"/>
      <c r="F6" s="240"/>
      <c r="G6" s="240"/>
      <c r="H6" s="240"/>
      <c r="I6" s="240"/>
      <c r="J6" s="241"/>
    </row>
    <row r="7" spans="1:45">
      <c r="B7" s="229" t="s">
        <v>115</v>
      </c>
      <c r="C7" s="230"/>
      <c r="D7" s="231" t="s">
        <v>2456</v>
      </c>
      <c r="E7" s="232"/>
      <c r="F7" s="232"/>
      <c r="G7" s="232"/>
      <c r="H7" s="232"/>
      <c r="I7" s="232"/>
      <c r="J7" s="233"/>
    </row>
    <row r="8" spans="1:45">
      <c r="B8" s="229" t="s">
        <v>116</v>
      </c>
      <c r="C8" s="230"/>
      <c r="D8" s="231" t="str">
        <f>エンティティ一覧!AE2&amp;"_"&amp;D5&amp;"_mt2_prefecture_region"</f>
        <v>sny_202310_backup_mt2_prefecture_region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milscm_2023_009.sny_202310_backup_mt2_prefecture_region;</v>
      </c>
      <c r="O10" s="76"/>
      <c r="P10" s="76"/>
      <c r="Q10" s="76"/>
      <c r="R10" s="76"/>
      <c r="S10" s="76"/>
      <c r="T10" s="76"/>
      <c r="AJ10" s="76" t="str">
        <f>"ALTER TABLE ONLY "&amp;エンティティ一覧!$O$2&amp;"."&amp;D$8</f>
        <v>ALTER TABLE ONLY milscm_2023_009.sny_202310_backup_mt2_prefecture_region</v>
      </c>
      <c r="AS10" s="76" t="str">
        <f>"ALTER TABLE "&amp;エンティティ一覧!$O$2&amp;"."&amp;D$8&amp;" OWNER TO pgmisgrp1;"</f>
        <v>ALTER TABLE milscm_2023_009.sny_202310_backup_mt2_prefecture_region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milscm_2023_009.sny_202310_backup_mt2_prefecture_region</v>
      </c>
      <c r="O11" s="76"/>
      <c r="P11" s="76"/>
      <c r="Q11" s="76"/>
      <c r="R11" s="76"/>
      <c r="S11" s="76"/>
      <c r="T11" s="76"/>
      <c r="AJ11" s="76" t="str">
        <f>"ADD CONSTRAINT "&amp;D$8&amp;"_pkey PRIMARY KEY"</f>
        <v>ADD CONSTRAINT sny_202310_backup_mt2_prefecture_region_pkey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2457</v>
      </c>
      <c r="D13" s="6" t="s">
        <v>1899</v>
      </c>
      <c r="E13" s="8" t="s">
        <v>127</v>
      </c>
      <c r="F13" s="8" t="s">
        <v>737</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2458</v>
      </c>
      <c r="D14" s="6" t="s">
        <v>919</v>
      </c>
      <c r="E14" s="8"/>
      <c r="F14" s="7" t="s">
        <v>737</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2459</v>
      </c>
      <c r="D15" s="6" t="s">
        <v>2460</v>
      </c>
      <c r="E15" s="8"/>
      <c r="F15" s="7" t="s">
        <v>737</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milscm_2023_009.sny_202310_backup_mt2_prefecture_region.region_cd IS '地方コード';</v>
      </c>
    </row>
    <row r="16" spans="1:45" s="25" customFormat="1" ht="19.5" thickBot="1">
      <c r="A16" s="4"/>
      <c r="B16" s="27">
        <f>ROW()-12</f>
        <v>4</v>
      </c>
      <c r="C16" s="57" t="s">
        <v>2461</v>
      </c>
      <c r="D16" s="57" t="s">
        <v>2462</v>
      </c>
      <c r="E16" s="56"/>
      <c r="F16" s="56" t="s">
        <v>737</v>
      </c>
      <c r="G16" s="56" t="str">
        <f t="shared" si="3"/>
        <v>text</v>
      </c>
      <c r="H16" s="59"/>
      <c r="I16" s="60" t="s">
        <v>127</v>
      </c>
      <c r="J16" s="64"/>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2463</v>
      </c>
      <c r="L18" s="25"/>
      <c r="M18" s="25"/>
      <c r="V18" s="25"/>
      <c r="W18" s="25"/>
      <c r="X18" s="25"/>
      <c r="Y18" s="25"/>
      <c r="Z18" s="25"/>
      <c r="AT18" s="25"/>
      <c r="AU18" s="25"/>
      <c r="AV18" s="25"/>
      <c r="AW18" s="25"/>
      <c r="AX18" s="25"/>
      <c r="AY18" s="25"/>
      <c r="AZ18" s="25"/>
    </row>
    <row r="19" spans="2:52">
      <c r="B19" s="82" t="s">
        <v>2464</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2465</v>
      </c>
      <c r="D21" s="83" t="s">
        <v>2466</v>
      </c>
      <c r="E21" s="261" t="s">
        <v>2467</v>
      </c>
      <c r="F21" s="262"/>
      <c r="G21" s="262"/>
      <c r="H21" s="262"/>
      <c r="I21" s="262"/>
      <c r="J21" s="263"/>
    </row>
    <row r="22" spans="2:52">
      <c r="B22" s="82"/>
      <c r="C22" s="84" t="s">
        <v>2468</v>
      </c>
      <c r="D22" s="84" t="s">
        <v>2469</v>
      </c>
      <c r="E22" s="258" t="s">
        <v>2470</v>
      </c>
      <c r="F22" s="259"/>
      <c r="G22" s="259"/>
      <c r="H22" s="259"/>
      <c r="I22" s="259"/>
      <c r="J22" s="260"/>
    </row>
    <row r="23" spans="2:52">
      <c r="B23" s="82"/>
      <c r="C23" s="84" t="s">
        <v>2471</v>
      </c>
      <c r="D23" s="84" t="s">
        <v>2472</v>
      </c>
      <c r="E23" s="258" t="s">
        <v>2473</v>
      </c>
      <c r="F23" s="259"/>
      <c r="G23" s="259"/>
      <c r="H23" s="259"/>
      <c r="I23" s="259"/>
      <c r="J23" s="260"/>
    </row>
    <row r="24" spans="2:52">
      <c r="B24" s="82"/>
      <c r="C24" s="84" t="s">
        <v>2474</v>
      </c>
      <c r="D24" s="84" t="s">
        <v>2475</v>
      </c>
      <c r="E24" s="258" t="s">
        <v>2476</v>
      </c>
      <c r="F24" s="259"/>
      <c r="G24" s="259"/>
      <c r="H24" s="259"/>
      <c r="I24" s="259"/>
      <c r="J24" s="260"/>
    </row>
    <row r="25" spans="2:52">
      <c r="B25" s="82"/>
      <c r="C25" s="84" t="s">
        <v>2477</v>
      </c>
      <c r="D25" s="84" t="s">
        <v>2478</v>
      </c>
      <c r="E25" s="258" t="s">
        <v>2479</v>
      </c>
      <c r="F25" s="259"/>
      <c r="G25" s="259"/>
      <c r="H25" s="259"/>
      <c r="I25" s="259"/>
      <c r="J25" s="260"/>
    </row>
    <row r="26" spans="2:52">
      <c r="B26" s="82"/>
      <c r="C26" s="84" t="s">
        <v>2480</v>
      </c>
      <c r="D26" s="84" t="s">
        <v>2481</v>
      </c>
      <c r="E26" s="258" t="s">
        <v>2482</v>
      </c>
      <c r="F26" s="259"/>
      <c r="G26" s="259"/>
      <c r="H26" s="259"/>
      <c r="I26" s="259"/>
      <c r="J26" s="260"/>
    </row>
    <row r="27" spans="2:52">
      <c r="B27" s="82"/>
      <c r="C27" s="84" t="s">
        <v>2483</v>
      </c>
      <c r="D27" s="84" t="s">
        <v>2484</v>
      </c>
      <c r="E27" s="258" t="s">
        <v>2485</v>
      </c>
      <c r="F27" s="259"/>
      <c r="G27" s="259"/>
      <c r="H27" s="259"/>
      <c r="I27" s="259"/>
      <c r="J27" s="260"/>
    </row>
    <row r="28" spans="2:52">
      <c r="B28" s="82"/>
      <c r="C28" s="84" t="s">
        <v>2486</v>
      </c>
      <c r="D28" s="84" t="s">
        <v>2487</v>
      </c>
      <c r="E28" s="258" t="s">
        <v>2488</v>
      </c>
      <c r="F28" s="259"/>
      <c r="G28" s="259"/>
      <c r="H28" s="259"/>
      <c r="I28" s="259"/>
      <c r="J28" s="260"/>
    </row>
    <row r="29" spans="2:52">
      <c r="B29" s="82"/>
      <c r="C29" s="84" t="s">
        <v>2489</v>
      </c>
      <c r="D29" s="84" t="s">
        <v>2490</v>
      </c>
      <c r="E29" s="258" t="s">
        <v>2491</v>
      </c>
      <c r="F29" s="259"/>
      <c r="G29" s="259"/>
      <c r="H29" s="259"/>
      <c r="I29" s="259"/>
      <c r="J29" s="260"/>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ENT_01_A4-03</v>
      </c>
      <c r="E6" s="240"/>
      <c r="F6" s="240"/>
      <c r="G6" s="240"/>
      <c r="H6" s="240"/>
      <c r="I6" s="240"/>
      <c r="J6" s="241"/>
    </row>
    <row r="7" spans="1:45">
      <c r="B7" s="229" t="s">
        <v>115</v>
      </c>
      <c r="C7" s="230"/>
      <c r="D7" s="231" t="s">
        <v>2492</v>
      </c>
      <c r="E7" s="232"/>
      <c r="F7" s="232"/>
      <c r="G7" s="232"/>
      <c r="H7" s="232"/>
      <c r="I7" s="232"/>
      <c r="J7" s="233"/>
    </row>
    <row r="8" spans="1:45">
      <c r="B8" s="229" t="s">
        <v>116</v>
      </c>
      <c r="C8" s="230"/>
      <c r="D8" s="231" t="str">
        <f>エンティティ一覧!AE2&amp;"_"&amp;D5&amp;"_mt2_shisetsu_zokusei"</f>
        <v>sny_202310_backup_mt2_shisetsu_zokusei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施設属性マスタテーブルから組入れ条件の第一条件で絞り込んだ結果を格納するテーブル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milscm_2023_009.sny_202310_backup_mt2_shisetsu_zokusei;</v>
      </c>
      <c r="O10" s="76"/>
      <c r="P10" s="76"/>
      <c r="Q10" s="76"/>
      <c r="R10" s="76"/>
      <c r="S10" s="76"/>
      <c r="T10" s="76"/>
      <c r="AJ10" s="76" t="str">
        <f>"ALTER TABLE ONLY "&amp;エンティティ一覧!$O$2&amp;"."&amp;D$8</f>
        <v>ALTER TABLE ONLY milscm_2023_009.sny_202310_backup_mt2_shisetsu_zokusei</v>
      </c>
      <c r="AS10" s="76" t="str">
        <f>"ALTER TABLE "&amp;エンティティ一覧!$O$2&amp;"."&amp;D$8&amp;" OWNER TO pgmisgrp1;"</f>
        <v>ALTER TABLE milscm_2023_009.sny_202310_backup_mt2_shisetsu_zokusei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milscm_2023_009.sny_202310_backup_mt2_shisetsu_zokusei</v>
      </c>
      <c r="O11" s="76"/>
      <c r="P11" s="76"/>
      <c r="Q11" s="76"/>
      <c r="R11" s="76"/>
      <c r="S11" s="76"/>
      <c r="T11" s="76"/>
      <c r="AJ11" s="76" t="str">
        <f>"ADD CONSTRAINT "&amp;D$8&amp;"_pkey PRIMARY KEY"</f>
        <v>ADD CONSTRAINT sny_202310_backup_mt2_shisetsu_zokusei_pkey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2520</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milscm_2023_009.sny_202310_backup_mt2_shisetsu_zokusei.facility_id IS '施設ID';</v>
      </c>
    </row>
    <row r="14" spans="1:45" s="25" customFormat="1" ht="37.5">
      <c r="A14" s="4"/>
      <c r="B14" s="21">
        <f t="shared" ref="B14:B43" si="2">ROW()-12</f>
        <v>2</v>
      </c>
      <c r="C14" s="6" t="s">
        <v>2493</v>
      </c>
      <c r="D14" s="6" t="s">
        <v>2494</v>
      </c>
      <c r="E14" s="8" t="s">
        <v>127</v>
      </c>
      <c r="F14" s="7" t="s">
        <v>737</v>
      </c>
      <c r="G14" s="7" t="str">
        <f t="shared" ref="G14:G44" si="3">IF(F14="フラグ","boolean",IF(F14="文字列","text",IF(F14="整数","integer",IF(F14="実数","numeric",""))))</f>
        <v>text</v>
      </c>
      <c r="H14" s="26">
        <v>999999</v>
      </c>
      <c r="I14" s="10" t="s">
        <v>127</v>
      </c>
      <c r="J14" s="11" t="s">
        <v>2521</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2495</v>
      </c>
      <c r="D15" s="6" t="s">
        <v>2407</v>
      </c>
      <c r="E15" s="8"/>
      <c r="F15" s="7" t="s">
        <v>737</v>
      </c>
      <c r="G15" s="7" t="str">
        <f t="shared" si="3"/>
        <v>text</v>
      </c>
      <c r="H15" s="26"/>
      <c r="I15" s="10" t="s">
        <v>127</v>
      </c>
      <c r="J15" s="11" t="s">
        <v>2522</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2496</v>
      </c>
      <c r="D16" s="6" t="s">
        <v>2409</v>
      </c>
      <c r="E16" s="8"/>
      <c r="F16" s="7" t="s">
        <v>737</v>
      </c>
      <c r="G16" s="7" t="str">
        <f t="shared" si="3"/>
        <v>text</v>
      </c>
      <c r="H16" s="26"/>
      <c r="I16" s="10"/>
      <c r="J16" s="11" t="s">
        <v>2522</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1898</v>
      </c>
      <c r="D17" s="6" t="s">
        <v>1899</v>
      </c>
      <c r="E17" s="8"/>
      <c r="F17" s="7" t="s">
        <v>737</v>
      </c>
      <c r="G17" s="7" t="str">
        <f t="shared" si="3"/>
        <v>text</v>
      </c>
      <c r="H17" s="26"/>
      <c r="I17" s="10" t="s">
        <v>127</v>
      </c>
      <c r="J17" s="11" t="s">
        <v>2522</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2497</v>
      </c>
      <c r="D18" s="6" t="s">
        <v>919</v>
      </c>
      <c r="E18" s="8"/>
      <c r="F18" s="7" t="s">
        <v>737</v>
      </c>
      <c r="G18" s="7" t="str">
        <f t="shared" ref="G18:G42" si="7">IF(F18="フラグ","boolean",IF(F18="文字列","text",IF(F18="整数","integer",IF(F18="実数","numeric",""))))</f>
        <v>text</v>
      </c>
      <c r="H18" s="26"/>
      <c r="I18" s="10" t="s">
        <v>127</v>
      </c>
      <c r="J18" s="11" t="s">
        <v>2534</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2498</v>
      </c>
      <c r="D19" s="6" t="s">
        <v>2460</v>
      </c>
      <c r="E19" s="8"/>
      <c r="F19" s="7" t="s">
        <v>737</v>
      </c>
      <c r="G19" s="7" t="str">
        <f t="shared" si="7"/>
        <v>text</v>
      </c>
      <c r="H19" s="26"/>
      <c r="I19" s="10" t="s">
        <v>127</v>
      </c>
      <c r="J19" s="11" t="s">
        <v>2534</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2499</v>
      </c>
      <c r="D20" s="6" t="s">
        <v>2462</v>
      </c>
      <c r="E20" s="8"/>
      <c r="F20" s="7" t="s">
        <v>737</v>
      </c>
      <c r="G20" s="7" t="str">
        <f t="shared" si="7"/>
        <v>text</v>
      </c>
      <c r="H20" s="26"/>
      <c r="I20" s="10" t="s">
        <v>127</v>
      </c>
      <c r="J20" s="11" t="s">
        <v>2534</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1901</v>
      </c>
      <c r="D21" s="6" t="s">
        <v>2500</v>
      </c>
      <c r="E21" s="8"/>
      <c r="F21" s="7" t="s">
        <v>737</v>
      </c>
      <c r="G21" s="7" t="str">
        <f t="shared" si="7"/>
        <v>text</v>
      </c>
      <c r="H21" s="26"/>
      <c r="I21" s="10" t="s">
        <v>127</v>
      </c>
      <c r="J21" s="11" t="s">
        <v>2523</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1903</v>
      </c>
      <c r="D22" s="6" t="s">
        <v>1904</v>
      </c>
      <c r="E22" s="8"/>
      <c r="F22" s="7" t="s">
        <v>737</v>
      </c>
      <c r="G22" s="7" t="str">
        <f t="shared" si="7"/>
        <v>text</v>
      </c>
      <c r="H22" s="26"/>
      <c r="I22" s="10" t="s">
        <v>127</v>
      </c>
      <c r="J22" s="11" t="s">
        <v>2522</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2501</v>
      </c>
      <c r="D23" s="6" t="s">
        <v>2502</v>
      </c>
      <c r="E23" s="8"/>
      <c r="F23" s="7" t="s">
        <v>737</v>
      </c>
      <c r="G23" s="7" t="str">
        <f t="shared" si="7"/>
        <v>text</v>
      </c>
      <c r="H23" s="26"/>
      <c r="I23" s="10" t="s">
        <v>127</v>
      </c>
      <c r="J23" s="11" t="s">
        <v>2522</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milscm_2023_009.sny_202310_backup_mt2_shisetsu_zokusei.address IS '住所';</v>
      </c>
    </row>
    <row r="24" spans="1:45" s="25" customFormat="1">
      <c r="A24" s="4"/>
      <c r="B24" s="21">
        <f t="shared" si="2"/>
        <v>12</v>
      </c>
      <c r="C24" s="6" t="s">
        <v>2503</v>
      </c>
      <c r="D24" s="6" t="s">
        <v>1895</v>
      </c>
      <c r="E24" s="8"/>
      <c r="F24" s="7" t="s">
        <v>737</v>
      </c>
      <c r="G24" s="7" t="str">
        <f t="shared" si="7"/>
        <v>text</v>
      </c>
      <c r="H24" s="26"/>
      <c r="I24" s="10" t="s">
        <v>127</v>
      </c>
      <c r="J24" s="11" t="s">
        <v>2524</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2504</v>
      </c>
      <c r="D25" s="6" t="s">
        <v>1897</v>
      </c>
      <c r="E25" s="8"/>
      <c r="F25" s="7" t="s">
        <v>737</v>
      </c>
      <c r="G25" s="7" t="str">
        <f t="shared" si="7"/>
        <v>text</v>
      </c>
      <c r="H25" s="26"/>
      <c r="I25" s="10" t="s">
        <v>127</v>
      </c>
      <c r="J25" s="11" t="s">
        <v>2524</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1858</v>
      </c>
      <c r="D26" s="6" t="s">
        <v>1859</v>
      </c>
      <c r="E26" s="8"/>
      <c r="F26" s="7" t="s">
        <v>204</v>
      </c>
      <c r="G26" s="7" t="str">
        <f t="shared" si="7"/>
        <v>integer</v>
      </c>
      <c r="H26" s="26"/>
      <c r="I26" s="10"/>
      <c r="J26" s="11" t="s">
        <v>2520</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1860</v>
      </c>
      <c r="D27" s="6" t="s">
        <v>1861</v>
      </c>
      <c r="E27" s="8"/>
      <c r="F27" s="7" t="s">
        <v>204</v>
      </c>
      <c r="G27" s="7" t="str">
        <f t="shared" si="7"/>
        <v>integer</v>
      </c>
      <c r="H27" s="26"/>
      <c r="I27" s="10"/>
      <c r="J27" s="11" t="s">
        <v>2520</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1862</v>
      </c>
      <c r="D28" s="6" t="s">
        <v>1863</v>
      </c>
      <c r="E28" s="8"/>
      <c r="F28" s="7" t="s">
        <v>204</v>
      </c>
      <c r="G28" s="7" t="str">
        <f t="shared" si="7"/>
        <v>integer</v>
      </c>
      <c r="H28" s="26"/>
      <c r="I28" s="10"/>
      <c r="J28" s="11" t="s">
        <v>2520</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1864</v>
      </c>
      <c r="D29" s="6" t="s">
        <v>1865</v>
      </c>
      <c r="E29" s="8"/>
      <c r="F29" s="7" t="s">
        <v>204</v>
      </c>
      <c r="G29" s="7" t="str">
        <f t="shared" si="7"/>
        <v>integer</v>
      </c>
      <c r="H29" s="26"/>
      <c r="I29" s="10"/>
      <c r="J29" s="11" t="s">
        <v>2520</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1866</v>
      </c>
      <c r="D30" s="6" t="s">
        <v>1867</v>
      </c>
      <c r="E30" s="8"/>
      <c r="F30" s="7" t="s">
        <v>204</v>
      </c>
      <c r="G30" s="7" t="str">
        <f t="shared" si="7"/>
        <v>integer</v>
      </c>
      <c r="H30" s="26"/>
      <c r="I30" s="10"/>
      <c r="J30" s="11" t="s">
        <v>2520</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2505</v>
      </c>
      <c r="D31" s="6" t="s">
        <v>2506</v>
      </c>
      <c r="E31" s="8"/>
      <c r="F31" s="7" t="s">
        <v>204</v>
      </c>
      <c r="G31" s="7" t="str">
        <f t="shared" si="7"/>
        <v>integer</v>
      </c>
      <c r="H31" s="26"/>
      <c r="I31" s="10"/>
      <c r="J31" s="11" t="s">
        <v>2525</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1868</v>
      </c>
      <c r="D32" s="6" t="s">
        <v>1869</v>
      </c>
      <c r="E32" s="8"/>
      <c r="F32" s="7" t="s">
        <v>737</v>
      </c>
      <c r="G32" s="7" t="str">
        <f t="shared" si="7"/>
        <v>text</v>
      </c>
      <c r="H32" s="26"/>
      <c r="I32" s="10"/>
      <c r="J32" s="11" t="s">
        <v>2520</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1870</v>
      </c>
      <c r="D33" s="6" t="s">
        <v>1871</v>
      </c>
      <c r="E33" s="8"/>
      <c r="F33" s="7" t="s">
        <v>737</v>
      </c>
      <c r="G33" s="7" t="str">
        <f t="shared" si="7"/>
        <v>text</v>
      </c>
      <c r="H33" s="26"/>
      <c r="I33" s="10"/>
      <c r="J33" s="11" t="s">
        <v>2520</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milscm_2023_009.sny_202310_backup_mt2_shisetsu_zokusei.tokutei_hp_f IS '特定機能病院F';</v>
      </c>
    </row>
    <row r="34" spans="1:52" s="25" customFormat="1" ht="112.5">
      <c r="A34" s="4"/>
      <c r="B34" s="21">
        <f t="shared" si="2"/>
        <v>22</v>
      </c>
      <c r="C34" s="6" t="s">
        <v>1872</v>
      </c>
      <c r="D34" s="6" t="s">
        <v>1873</v>
      </c>
      <c r="E34" s="8"/>
      <c r="F34" s="7" t="s">
        <v>204</v>
      </c>
      <c r="G34" s="7" t="str">
        <f t="shared" si="7"/>
        <v>integer</v>
      </c>
      <c r="H34" s="26"/>
      <c r="I34" s="10"/>
      <c r="J34" s="11" t="s">
        <v>2526</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1874</v>
      </c>
      <c r="D35" s="6" t="s">
        <v>2507</v>
      </c>
      <c r="E35" s="8"/>
      <c r="F35" s="7" t="s">
        <v>737</v>
      </c>
      <c r="G35" s="7" t="str">
        <f t="shared" si="7"/>
        <v>text</v>
      </c>
      <c r="H35" s="26"/>
      <c r="I35" s="10"/>
      <c r="J35" s="11" t="s">
        <v>2520</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1876</v>
      </c>
      <c r="D36" s="6" t="s">
        <v>2508</v>
      </c>
      <c r="E36" s="8"/>
      <c r="F36" s="7" t="s">
        <v>737</v>
      </c>
      <c r="G36" s="7" t="str">
        <f t="shared" si="7"/>
        <v>text</v>
      </c>
      <c r="H36" s="26"/>
      <c r="I36" s="10"/>
      <c r="J36" s="11" t="s">
        <v>2520</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1878</v>
      </c>
      <c r="D37" s="6" t="s">
        <v>1879</v>
      </c>
      <c r="E37" s="8"/>
      <c r="F37" s="7" t="s">
        <v>737</v>
      </c>
      <c r="G37" s="7" t="str">
        <f t="shared" si="7"/>
        <v>text</v>
      </c>
      <c r="H37" s="26"/>
      <c r="I37" s="10"/>
      <c r="J37" s="11" t="s">
        <v>1891</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milscm_2023_009.sny_202310_backup_mt2_shisetsu_zokusei.mil_exit_f IS '千年カルテ離脱施設フラグ';</v>
      </c>
    </row>
    <row r="38" spans="1:52" s="25" customFormat="1">
      <c r="A38" s="4"/>
      <c r="B38" s="21">
        <f t="shared" si="2"/>
        <v>26</v>
      </c>
      <c r="C38" s="6" t="s">
        <v>2509</v>
      </c>
      <c r="D38" s="6" t="s">
        <v>2510</v>
      </c>
      <c r="E38" s="8"/>
      <c r="F38" s="7" t="s">
        <v>737</v>
      </c>
      <c r="G38" s="7" t="str">
        <f t="shared" si="7"/>
        <v>text</v>
      </c>
      <c r="H38" s="26">
        <v>0</v>
      </c>
      <c r="I38" s="10" t="s">
        <v>127</v>
      </c>
      <c r="J38" s="11" t="s">
        <v>2527</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milscm_2023_009.sny_202310_backup_mt2_shisetsu_zokusei.new_f IS '最新フラグ';</v>
      </c>
    </row>
    <row r="39" spans="1:52" s="25" customFormat="1">
      <c r="A39" s="4"/>
      <c r="B39" s="21">
        <f t="shared" si="2"/>
        <v>27</v>
      </c>
      <c r="C39" s="6" t="s">
        <v>2511</v>
      </c>
      <c r="D39" s="6" t="s">
        <v>1906</v>
      </c>
      <c r="E39" s="8"/>
      <c r="F39" s="7" t="s">
        <v>737</v>
      </c>
      <c r="G39" s="7" t="str">
        <f t="shared" si="7"/>
        <v>text</v>
      </c>
      <c r="H39" s="26">
        <v>0</v>
      </c>
      <c r="I39" s="10" t="s">
        <v>127</v>
      </c>
      <c r="J39" s="11" t="s">
        <v>2528</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milscm_2023_009.sny_202310_backup_mt2_shisetsu_zokusei.del_f IS '削除フラグ';</v>
      </c>
    </row>
    <row r="40" spans="1:52" s="25" customFormat="1" ht="37.5">
      <c r="A40" s="4"/>
      <c r="B40" s="21">
        <f t="shared" si="2"/>
        <v>28</v>
      </c>
      <c r="C40" s="6" t="s">
        <v>1909</v>
      </c>
      <c r="D40" s="6" t="s">
        <v>1910</v>
      </c>
      <c r="E40" s="8"/>
      <c r="F40" s="7" t="s">
        <v>737</v>
      </c>
      <c r="G40" s="7" t="str">
        <f t="shared" si="7"/>
        <v>text</v>
      </c>
      <c r="H40" s="26">
        <v>99999999</v>
      </c>
      <c r="I40" s="10" t="s">
        <v>127</v>
      </c>
      <c r="J40" s="11" t="s">
        <v>2529</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milscm_2023_009.sny_202310_backup_mt2_shisetsu_zokusei.del_ymd IS '廃止年月日';</v>
      </c>
    </row>
    <row r="41" spans="1:52" s="25" customFormat="1" ht="56.25">
      <c r="A41" s="4"/>
      <c r="B41" s="21">
        <f t="shared" si="2"/>
        <v>29</v>
      </c>
      <c r="C41" s="6" t="s">
        <v>2512</v>
      </c>
      <c r="D41" s="6" t="s">
        <v>2513</v>
      </c>
      <c r="E41" s="8"/>
      <c r="F41" s="7" t="s">
        <v>737</v>
      </c>
      <c r="G41" s="7" t="str">
        <f t="shared" si="7"/>
        <v>text</v>
      </c>
      <c r="H41" s="26">
        <v>99999999</v>
      </c>
      <c r="I41" s="10" t="s">
        <v>127</v>
      </c>
      <c r="J41" s="11" t="s">
        <v>2530</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milscm_2023_009.sny_202310_backup_mt2_shisetsu_zokusei.shisetsu_update_ymd IS '施設マスタデータ登録日';</v>
      </c>
    </row>
    <row r="42" spans="1:52" s="25" customFormat="1" ht="56.25">
      <c r="A42" s="4"/>
      <c r="B42" s="21">
        <f t="shared" si="2"/>
        <v>30</v>
      </c>
      <c r="C42" s="6" t="s">
        <v>2514</v>
      </c>
      <c r="D42" s="6" t="s">
        <v>2515</v>
      </c>
      <c r="E42" s="8"/>
      <c r="F42" s="7" t="s">
        <v>737</v>
      </c>
      <c r="G42" s="7" t="str">
        <f t="shared" si="7"/>
        <v>text</v>
      </c>
      <c r="H42" s="26"/>
      <c r="I42" s="10"/>
      <c r="J42" s="11" t="s">
        <v>2531</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milscm_2023_009.sny_202310_backup_mt2_shisetsu_zokusei.zokusei_update_ymd IS '施設属性マスタ取込用データ登録日';</v>
      </c>
    </row>
    <row r="43" spans="1:52" s="25" customFormat="1" ht="56.25">
      <c r="A43" s="4"/>
      <c r="B43" s="21">
        <f t="shared" si="2"/>
        <v>31</v>
      </c>
      <c r="C43" s="6" t="s">
        <v>2516</v>
      </c>
      <c r="D43" s="6" t="s">
        <v>2517</v>
      </c>
      <c r="E43" s="8"/>
      <c r="F43" s="7" t="s">
        <v>737</v>
      </c>
      <c r="G43" s="7" t="str">
        <f t="shared" si="3"/>
        <v>text</v>
      </c>
      <c r="H43" s="26"/>
      <c r="I43" s="10"/>
      <c r="J43" s="11" t="s">
        <v>2532</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69.5" thickBot="1">
      <c r="A44" s="4"/>
      <c r="B44" s="27">
        <f>ROW()-12</f>
        <v>32</v>
      </c>
      <c r="C44" s="57" t="s">
        <v>2518</v>
      </c>
      <c r="D44" s="57" t="s">
        <v>2519</v>
      </c>
      <c r="E44" s="56"/>
      <c r="F44" s="56" t="s">
        <v>737</v>
      </c>
      <c r="G44" s="56" t="str">
        <f t="shared" si="3"/>
        <v>text</v>
      </c>
      <c r="H44" s="59">
        <v>0</v>
      </c>
      <c r="I44" s="60" t="s">
        <v>127</v>
      </c>
      <c r="J44" s="64" t="s">
        <v>2533</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ENT_01_A4-04</v>
      </c>
      <c r="E6" s="240"/>
      <c r="F6" s="240"/>
      <c r="G6" s="240"/>
      <c r="H6" s="240"/>
      <c r="I6" s="240"/>
      <c r="J6" s="241"/>
    </row>
    <row r="7" spans="1:45">
      <c r="B7" s="229" t="s">
        <v>115</v>
      </c>
      <c r="C7" s="230"/>
      <c r="D7" s="231" t="s">
        <v>2535</v>
      </c>
      <c r="E7" s="232"/>
      <c r="F7" s="232"/>
      <c r="G7" s="232"/>
      <c r="H7" s="232"/>
      <c r="I7" s="232"/>
      <c r="J7" s="233"/>
    </row>
    <row r="8" spans="1:45">
      <c r="B8" s="229" t="s">
        <v>116</v>
      </c>
      <c r="C8" s="230"/>
      <c r="D8" s="231" t="str">
        <f>エンティティ一覧!AE2&amp;"_"&amp;D5&amp;"_mt2_iryouken2"</f>
        <v>sny_202310_backup_mt2_iryouken2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二次医療圏マスタテーブルから組入れ条件の第一条件で絞り込んだ結果を格納するテーブル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milscm_2023_009.sny_202310_backup_mt2_iryouken2;</v>
      </c>
      <c r="O10" s="76"/>
      <c r="P10" s="76"/>
      <c r="Q10" s="76"/>
      <c r="R10" s="76"/>
      <c r="S10" s="76"/>
      <c r="T10" s="76"/>
      <c r="AJ10" s="76" t="str">
        <f>"ALTER TABLE ONLY "&amp;エンティティ一覧!$O$2&amp;"."&amp;D$8</f>
        <v>ALTER TABLE ONLY milscm_2023_009.sny_202310_backup_mt2_iryouken2</v>
      </c>
      <c r="AS10" s="76" t="str">
        <f>"ALTER TABLE "&amp;エンティティ一覧!$O$2&amp;"."&amp;D$8&amp;" OWNER TO pgmisgrp1;"</f>
        <v>ALTER TABLE milscm_2023_009.sny_202310_backup_mt2_iryouken2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milscm_2023_009.sny_202310_backup_mt2_iryouken2</v>
      </c>
      <c r="O11" s="76"/>
      <c r="P11" s="76"/>
      <c r="Q11" s="76"/>
      <c r="R11" s="76"/>
      <c r="S11" s="76"/>
      <c r="T11" s="76"/>
      <c r="AJ11" s="76" t="str">
        <f>"ADD CONSTRAINT "&amp;D$8&amp;"_pkey PRIMARY KEY"</f>
        <v>ADD CONSTRAINT sny_202310_backup_mt2_iryouken2_pkey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milscm_2023_009.sny_202310_backup_mt2_iryouken2 IS 'バックアップ_二次医療圏マスタ';</v>
      </c>
    </row>
    <row r="13" spans="1:45" s="25" customFormat="1" ht="56.25">
      <c r="A13" s="4"/>
      <c r="B13" s="21">
        <f>ROW()-12</f>
        <v>1</v>
      </c>
      <c r="C13" s="6" t="s">
        <v>2503</v>
      </c>
      <c r="D13" s="6" t="s">
        <v>1895</v>
      </c>
      <c r="E13" s="8"/>
      <c r="F13" s="8" t="s">
        <v>737</v>
      </c>
      <c r="G13" s="7" t="str">
        <f>IF(F13="フラグ","boolean",IF(F13="文字列","text",IF(F13="整数","integer",IF(F13="実数","numeric",""))))</f>
        <v>text</v>
      </c>
      <c r="H13" s="9"/>
      <c r="I13" s="10" t="s">
        <v>127</v>
      </c>
      <c r="J13" s="11" t="s">
        <v>2537</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milscm_2023_009.sny_202310_backup_mt2_iryouken2.iryouken2_cd IS '二次医療圏コード';</v>
      </c>
    </row>
    <row r="14" spans="1:45" s="25" customFormat="1" ht="56.25">
      <c r="A14" s="4"/>
      <c r="B14" s="21">
        <f t="shared" ref="B14:B19" si="2">ROW()-12</f>
        <v>2</v>
      </c>
      <c r="C14" s="6" t="s">
        <v>2504</v>
      </c>
      <c r="D14" s="6" t="s">
        <v>1897</v>
      </c>
      <c r="E14" s="8"/>
      <c r="F14" s="7" t="s">
        <v>737</v>
      </c>
      <c r="G14" s="7" t="str">
        <f t="shared" ref="G14:G20" si="3">IF(F14="フラグ","boolean",IF(F14="文字列","text",IF(F14="整数","integer",IF(F14="実数","numeric",""))))</f>
        <v>text</v>
      </c>
      <c r="H14" s="26"/>
      <c r="I14" s="10" t="s">
        <v>127</v>
      </c>
      <c r="J14" s="11" t="s">
        <v>2537</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milscm_2023_009.sny_202310_backup_mt2_iryouken2.iryouken2 IS '二次医療圏';</v>
      </c>
    </row>
    <row r="15" spans="1:45" s="25" customFormat="1" ht="56.25">
      <c r="A15" s="4"/>
      <c r="B15" s="21">
        <f t="shared" si="2"/>
        <v>3</v>
      </c>
      <c r="C15" s="6" t="s">
        <v>1898</v>
      </c>
      <c r="D15" s="6" t="s">
        <v>1899</v>
      </c>
      <c r="E15" s="8"/>
      <c r="F15" s="7" t="s">
        <v>737</v>
      </c>
      <c r="G15" s="7" t="str">
        <f t="shared" si="3"/>
        <v>text</v>
      </c>
      <c r="H15" s="26"/>
      <c r="I15" s="10" t="s">
        <v>127</v>
      </c>
      <c r="J15" s="11" t="s">
        <v>2537</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milscm_2023_009.sny_202310_backup_mt2_iryouken2.prefecture_cd IS '都道府県コード';</v>
      </c>
    </row>
    <row r="16" spans="1:45" s="25" customFormat="1" ht="56.25">
      <c r="A16" s="4"/>
      <c r="B16" s="21">
        <f t="shared" si="2"/>
        <v>4</v>
      </c>
      <c r="C16" s="6" t="s">
        <v>1901</v>
      </c>
      <c r="D16" s="6" t="s">
        <v>1902</v>
      </c>
      <c r="E16" s="8" t="s">
        <v>127</v>
      </c>
      <c r="F16" s="7" t="s">
        <v>737</v>
      </c>
      <c r="G16" s="7" t="str">
        <f t="shared" si="3"/>
        <v>text</v>
      </c>
      <c r="H16" s="26"/>
      <c r="I16" s="10" t="s">
        <v>127</v>
      </c>
      <c r="J16" s="11" t="s">
        <v>2537</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2509</v>
      </c>
      <c r="D17" s="6" t="s">
        <v>2510</v>
      </c>
      <c r="E17" s="8"/>
      <c r="F17" s="7" t="s">
        <v>737</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milscm_2023_009.sny_202310_backup_mt2_iryouken2.new_f IS '最新フラグ';</v>
      </c>
    </row>
    <row r="18" spans="1:52" s="25" customFormat="1">
      <c r="A18" s="4"/>
      <c r="B18" s="21">
        <f t="shared" si="2"/>
        <v>6</v>
      </c>
      <c r="C18" s="6" t="s">
        <v>2536</v>
      </c>
      <c r="D18" s="6" t="s">
        <v>1906</v>
      </c>
      <c r="E18" s="8"/>
      <c r="F18" s="7" t="s">
        <v>737</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milscm_2023_009.sny_202310_backup_mt2_iryouken2.del_f IS '削除フラグ';</v>
      </c>
    </row>
    <row r="19" spans="1:52" s="25" customFormat="1" ht="37.5">
      <c r="A19" s="4"/>
      <c r="B19" s="21">
        <f t="shared" si="2"/>
        <v>7</v>
      </c>
      <c r="C19" s="6" t="s">
        <v>1969</v>
      </c>
      <c r="D19" s="6" t="s">
        <v>1908</v>
      </c>
      <c r="E19" s="8" t="s">
        <v>127</v>
      </c>
      <c r="F19" s="7" t="s">
        <v>737</v>
      </c>
      <c r="G19" s="7" t="str">
        <f t="shared" si="3"/>
        <v>text</v>
      </c>
      <c r="H19" s="26">
        <v>99999999</v>
      </c>
      <c r="I19" s="10" t="s">
        <v>127</v>
      </c>
      <c r="J19" s="11" t="s">
        <v>2538</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milscm_2023_009.sny_202310_backup_mt2_iryouken2.henkou_ymd IS '変更年月日';</v>
      </c>
    </row>
    <row r="20" spans="1:52" s="25" customFormat="1" ht="38.25" thickBot="1">
      <c r="A20" s="4"/>
      <c r="B20" s="27">
        <f>ROW()-12</f>
        <v>8</v>
      </c>
      <c r="C20" s="57" t="s">
        <v>1909</v>
      </c>
      <c r="D20" s="57" t="s">
        <v>1910</v>
      </c>
      <c r="E20" s="56" t="s">
        <v>127</v>
      </c>
      <c r="F20" s="56" t="s">
        <v>737</v>
      </c>
      <c r="G20" s="56" t="str">
        <f t="shared" si="3"/>
        <v>text</v>
      </c>
      <c r="H20" s="59">
        <v>99999999</v>
      </c>
      <c r="I20" s="60" t="s">
        <v>127</v>
      </c>
      <c r="J20" s="64" t="s">
        <v>2539</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milscm_2023_009.sny_202310_backup_mt2_iryouken2.del_ymd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1914</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01</v>
      </c>
      <c r="E4" s="245"/>
      <c r="F4" s="245"/>
      <c r="G4" s="245"/>
      <c r="H4" s="245"/>
      <c r="I4" s="245"/>
      <c r="J4" s="246"/>
    </row>
    <row r="5" spans="1:52">
      <c r="B5" s="229" t="s">
        <v>3704</v>
      </c>
      <c r="C5" s="230"/>
      <c r="D5" s="239" t="str">
        <f>VLOOKUP(D7,エンティティ一覧!A1:'エンティティ一覧'!AM10183,7,FALSE)</f>
        <v>backup</v>
      </c>
      <c r="E5" s="240"/>
      <c r="F5" s="240"/>
      <c r="G5" s="240"/>
      <c r="H5" s="240"/>
      <c r="I5" s="240"/>
      <c r="J5" s="241"/>
    </row>
    <row r="6" spans="1:52">
      <c r="B6" s="229" t="s">
        <v>3705</v>
      </c>
      <c r="C6" s="230"/>
      <c r="D6" s="239" t="str">
        <f>VLOOKUP(D7,エンティティ一覧!A1:'エンティティ一覧'!AM10183,15,FALSE)</f>
        <v>ENT_01_A4-05</v>
      </c>
      <c r="E6" s="240"/>
      <c r="F6" s="240"/>
      <c r="G6" s="240"/>
      <c r="H6" s="240"/>
      <c r="I6" s="240"/>
      <c r="J6" s="241"/>
    </row>
    <row r="7" spans="1:52">
      <c r="B7" s="229" t="s">
        <v>115</v>
      </c>
      <c r="C7" s="230"/>
      <c r="D7" s="231" t="s">
        <v>2540</v>
      </c>
      <c r="E7" s="232"/>
      <c r="F7" s="232"/>
      <c r="G7" s="232"/>
      <c r="H7" s="232"/>
      <c r="I7" s="232"/>
      <c r="J7" s="233"/>
    </row>
    <row r="8" spans="1:52">
      <c r="B8" s="229" t="s">
        <v>116</v>
      </c>
      <c r="C8" s="230"/>
      <c r="D8" s="231" t="str">
        <f>エンティティ一覧!AE2&amp;"_"&amp;D5&amp;"_mt2_old_new_shisetsu"</f>
        <v>sny_202310_backup_mt2_old_new_shisetsu</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施設ID対応マスタテーブルから組入れ条件の第一条件で絞り込んだ結果を格納するテーブル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milscm_2023_009.sny_202310_backup_mt2_old_new_shisetsu;</v>
      </c>
      <c r="O10" s="76"/>
      <c r="P10" s="76"/>
      <c r="Q10" s="76"/>
      <c r="R10" s="76"/>
      <c r="S10" s="76"/>
      <c r="T10" s="76"/>
      <c r="AJ10" s="76" t="str">
        <f>"ALTER TABLE ONLY "&amp;エンティティ一覧!$O$2&amp;"."&amp;D$8</f>
        <v>ALTER TABLE ONLY milscm_2023_009.sny_202310_backup_mt2_old_new_shisetsu</v>
      </c>
      <c r="AS10" s="76" t="str">
        <f>"ALTER TABLE "&amp;エンティティ一覧!$O$2&amp;"."&amp;D$8&amp;" OWNER TO pgmisgrp1;"</f>
        <v>ALTER TABLE milscm_2023_009.sny_202310_backup_mt2_old_new_shisetsu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milscm_2023_009.sny_202310_backup_mt2_old_new_shisetsu</v>
      </c>
      <c r="O11" s="76"/>
      <c r="P11" s="76"/>
      <c r="Q11" s="76"/>
      <c r="R11" s="76"/>
      <c r="S11" s="76"/>
      <c r="T11" s="76"/>
      <c r="AJ11" s="76" t="str">
        <f>"ADD CONSTRAINT "&amp;D$8&amp;"_pkey PRIMARY KEY"</f>
        <v>ADD CONSTRAINT sny_202310_backup_mt2_old_new_shisetsu_pkey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2541</v>
      </c>
      <c r="D13" s="6" t="s">
        <v>2542</v>
      </c>
      <c r="E13" s="8" t="s">
        <v>127</v>
      </c>
      <c r="F13" s="8" t="s">
        <v>737</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2543</v>
      </c>
      <c r="D14" s="6" t="s">
        <v>2544</v>
      </c>
      <c r="E14" s="8"/>
      <c r="F14" s="7" t="s">
        <v>737</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milscm_2023_009.sny_202310_backup_mt2_old_new_shisetsu.new_facility_id IS '新施設ID';</v>
      </c>
    </row>
    <row r="15" spans="1:52" s="25" customFormat="1" ht="19.5" thickBot="1">
      <c r="A15" s="4"/>
      <c r="B15" s="27">
        <f>ROW()-12</f>
        <v>3</v>
      </c>
      <c r="C15" s="57" t="s">
        <v>2545</v>
      </c>
      <c r="D15" s="57" t="s">
        <v>1938</v>
      </c>
      <c r="E15" s="56"/>
      <c r="F15" s="56" t="s">
        <v>737</v>
      </c>
      <c r="G15" s="56" t="str">
        <f t="shared" si="3"/>
        <v>text</v>
      </c>
      <c r="H15" s="59">
        <v>99999999</v>
      </c>
      <c r="I15" s="60" t="s">
        <v>127</v>
      </c>
      <c r="J15" s="64" t="s">
        <v>1796</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ENT_01_A4-07</v>
      </c>
      <c r="E6" s="240"/>
      <c r="F6" s="240"/>
      <c r="G6" s="240"/>
      <c r="H6" s="240"/>
      <c r="I6" s="240"/>
      <c r="J6" s="241"/>
    </row>
    <row r="7" spans="1:45">
      <c r="B7" s="229" t="s">
        <v>115</v>
      </c>
      <c r="C7" s="230"/>
      <c r="D7" s="231" t="s">
        <v>2548</v>
      </c>
      <c r="E7" s="232"/>
      <c r="F7" s="232"/>
      <c r="G7" s="232"/>
      <c r="H7" s="232"/>
      <c r="I7" s="232"/>
      <c r="J7" s="233"/>
    </row>
    <row r="8" spans="1:45">
      <c r="B8" s="229" t="s">
        <v>116</v>
      </c>
      <c r="C8" s="230"/>
      <c r="D8" s="231" t="str">
        <f>エンティティ一覧!AE2&amp;"_"&amp;D5&amp;"_mt2_iyakuhin_kanren"</f>
        <v>sny_202310_backup_mt2_iyakuhin_kanren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milscm_2023_009.sny_202310_backup_mt2_iyakuhin_kanren;</v>
      </c>
      <c r="O10" s="76"/>
      <c r="P10" s="76"/>
      <c r="Q10" s="76"/>
      <c r="R10" s="76"/>
      <c r="S10" s="76"/>
      <c r="T10" s="76"/>
      <c r="AJ10" s="76" t="str">
        <f>"ALTER TABLE ONLY "&amp;エンティティ一覧!$O$2&amp;"."&amp;D$8</f>
        <v>ALTER TABLE ONLY milscm_2023_009.sny_202310_backup_mt2_iyakuhin_kanren</v>
      </c>
      <c r="AS10" s="76" t="str">
        <f>"ALTER TABLE "&amp;エンティティ一覧!$O$2&amp;"."&amp;D$8&amp;" OWNER TO pgmisgrp1;"</f>
        <v>ALTER TABLE milscm_2023_009.sny_202310_backup_mt2_iyakuhin_kanren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milscm_2023_009.sny_202310_backup_mt2_iyakuhin_kanren</v>
      </c>
      <c r="O11" s="76"/>
      <c r="P11" s="76"/>
      <c r="Q11" s="76"/>
      <c r="R11" s="76"/>
      <c r="S11" s="76"/>
      <c r="T11" s="76"/>
      <c r="AJ11" s="76" t="str">
        <f>"ADD CONSTRAINT "&amp;D$8&amp;"_pkey PRIMARY KEY"</f>
        <v>ADD CONSTRAINT sny_202310_backup_mt2_iyakuhin_kanren_pkey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1159</v>
      </c>
      <c r="D13" s="6" t="s">
        <v>2549</v>
      </c>
      <c r="E13" s="8" t="s">
        <v>127</v>
      </c>
      <c r="F13" s="8" t="s">
        <v>737</v>
      </c>
      <c r="G13" s="7" t="str">
        <f>IF(F13="フラグ","boolean",IF(F13="文字列","text",IF(F13="整数","integer",IF(F13="実数","numeric",""))))</f>
        <v>text</v>
      </c>
      <c r="H13" s="9"/>
      <c r="I13" s="10" t="s">
        <v>127</v>
      </c>
      <c r="J13" s="11" t="s">
        <v>2589</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2550</v>
      </c>
      <c r="D14" s="6" t="s">
        <v>2551</v>
      </c>
      <c r="E14" s="8"/>
      <c r="F14" s="7" t="s">
        <v>737</v>
      </c>
      <c r="G14" s="7" t="str">
        <f t="shared" ref="G14:G38" si="3">IF(F14="フラグ","boolean",IF(F14="文字列","text",IF(F14="整数","integer",IF(F14="実数","numeric",""))))</f>
        <v>text</v>
      </c>
      <c r="H14" s="26"/>
      <c r="I14" s="10" t="s">
        <v>127</v>
      </c>
      <c r="J14" s="11" t="s">
        <v>2590</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milscm_2023_009.sny_202310_backup_mt2_iyakuhin_kanren.iyakuhin_brand_cd IS '医薬品ブランドコード';</v>
      </c>
    </row>
    <row r="15" spans="1:45" s="25" customFormat="1">
      <c r="A15" s="4"/>
      <c r="B15" s="21">
        <f t="shared" si="2"/>
        <v>3</v>
      </c>
      <c r="C15" s="6" t="s">
        <v>2552</v>
      </c>
      <c r="D15" s="6" t="s">
        <v>2553</v>
      </c>
      <c r="E15" s="8"/>
      <c r="F15" s="7" t="s">
        <v>737</v>
      </c>
      <c r="G15" s="7" t="str">
        <f t="shared" si="3"/>
        <v>text</v>
      </c>
      <c r="H15" s="26"/>
      <c r="I15" s="10" t="s">
        <v>127</v>
      </c>
      <c r="J15" s="11" t="s">
        <v>2590</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2554</v>
      </c>
      <c r="D16" s="6" t="s">
        <v>2555</v>
      </c>
      <c r="E16" s="8"/>
      <c r="F16" s="7" t="s">
        <v>737</v>
      </c>
      <c r="G16" s="7" t="str">
        <f t="shared" si="3"/>
        <v>text</v>
      </c>
      <c r="H16" s="26"/>
      <c r="I16" s="10" t="s">
        <v>127</v>
      </c>
      <c r="J16" s="11" t="s">
        <v>2590</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2556</v>
      </c>
      <c r="D17" s="6" t="s">
        <v>2557</v>
      </c>
      <c r="E17" s="8"/>
      <c r="F17" s="7" t="s">
        <v>737</v>
      </c>
      <c r="G17" s="7" t="str">
        <f t="shared" si="3"/>
        <v>text</v>
      </c>
      <c r="H17" s="26"/>
      <c r="I17" s="10" t="s">
        <v>127</v>
      </c>
      <c r="J17" s="11" t="s">
        <v>2590</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2558</v>
      </c>
      <c r="D18" s="6" t="s">
        <v>2559</v>
      </c>
      <c r="E18" s="8"/>
      <c r="F18" s="7" t="s">
        <v>737</v>
      </c>
      <c r="G18" s="7" t="str">
        <f t="shared" si="3"/>
        <v>text</v>
      </c>
      <c r="H18" s="26"/>
      <c r="I18" s="10" t="s">
        <v>127</v>
      </c>
      <c r="J18" s="11" t="s">
        <v>2590</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2560</v>
      </c>
      <c r="D19" s="6" t="s">
        <v>2561</v>
      </c>
      <c r="E19" s="8"/>
      <c r="F19" s="7" t="s">
        <v>737</v>
      </c>
      <c r="G19" s="7" t="str">
        <f t="shared" si="3"/>
        <v>text</v>
      </c>
      <c r="H19" s="26"/>
      <c r="I19" s="10" t="s">
        <v>127</v>
      </c>
      <c r="J19" s="11" t="s">
        <v>2590</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2562</v>
      </c>
      <c r="D20" s="6" t="s">
        <v>2563</v>
      </c>
      <c r="E20" s="8"/>
      <c r="F20" s="7" t="s">
        <v>737</v>
      </c>
      <c r="G20" s="7" t="str">
        <f t="shared" si="3"/>
        <v>text</v>
      </c>
      <c r="H20" s="26"/>
      <c r="I20" s="10" t="s">
        <v>127</v>
      </c>
      <c r="J20" s="11" t="s">
        <v>2590</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2564</v>
      </c>
      <c r="D21" s="6" t="s">
        <v>2565</v>
      </c>
      <c r="E21" s="8"/>
      <c r="F21" s="7" t="s">
        <v>737</v>
      </c>
      <c r="G21" s="7" t="str">
        <f t="shared" si="3"/>
        <v>text</v>
      </c>
      <c r="H21" s="26"/>
      <c r="I21" s="10"/>
      <c r="J21" s="11" t="s">
        <v>2590</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2566</v>
      </c>
      <c r="D22" s="6" t="s">
        <v>2567</v>
      </c>
      <c r="E22" s="8"/>
      <c r="F22" s="7" t="s">
        <v>737</v>
      </c>
      <c r="G22" s="7" t="str">
        <f t="shared" si="3"/>
        <v>text</v>
      </c>
      <c r="H22" s="26"/>
      <c r="I22" s="10" t="s">
        <v>127</v>
      </c>
      <c r="J22" s="11" t="s">
        <v>2590</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milscm_2023_009.sny_202310_backup_mt2_iyakuhin_kanren.iyakuhin_jpn_name IS '医薬品日本語名';</v>
      </c>
    </row>
    <row r="23" spans="1:45" s="25" customFormat="1">
      <c r="A23" s="4"/>
      <c r="B23" s="21">
        <f t="shared" si="2"/>
        <v>11</v>
      </c>
      <c r="C23" s="6" t="s">
        <v>2568</v>
      </c>
      <c r="D23" s="6" t="s">
        <v>2569</v>
      </c>
      <c r="E23" s="8"/>
      <c r="F23" s="7" t="s">
        <v>737</v>
      </c>
      <c r="G23" s="7" t="str">
        <f t="shared" si="3"/>
        <v>text</v>
      </c>
      <c r="H23" s="26"/>
      <c r="I23" s="10" t="s">
        <v>127</v>
      </c>
      <c r="J23" s="11" t="s">
        <v>2591</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2570</v>
      </c>
      <c r="D24" s="6" t="s">
        <v>2114</v>
      </c>
      <c r="E24" s="8"/>
      <c r="F24" s="7" t="s">
        <v>737</v>
      </c>
      <c r="G24" s="7" t="str">
        <f t="shared" si="3"/>
        <v>text</v>
      </c>
      <c r="H24" s="26"/>
      <c r="I24" s="10" t="s">
        <v>127</v>
      </c>
      <c r="J24" s="11" t="s">
        <v>2592</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2571</v>
      </c>
      <c r="D25" s="6" t="s">
        <v>2116</v>
      </c>
      <c r="E25" s="8"/>
      <c r="F25" s="7" t="s">
        <v>737</v>
      </c>
      <c r="G25" s="7" t="str">
        <f t="shared" si="3"/>
        <v>text</v>
      </c>
      <c r="H25" s="26"/>
      <c r="I25" s="10" t="s">
        <v>127</v>
      </c>
      <c r="J25" s="11" t="s">
        <v>2593</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milscm_2023_009.sny_202310_backup_mt2_iyakuhin_kanren.iyakuhin_name IS '医薬品一般名英名';</v>
      </c>
    </row>
    <row r="26" spans="1:45" s="25" customFormat="1">
      <c r="A26" s="4"/>
      <c r="B26" s="21">
        <f t="shared" si="2"/>
        <v>14</v>
      </c>
      <c r="C26" s="6" t="s">
        <v>2572</v>
      </c>
      <c r="D26" s="6" t="s">
        <v>2573</v>
      </c>
      <c r="E26" s="8"/>
      <c r="F26" s="7" t="s">
        <v>737</v>
      </c>
      <c r="G26" s="7" t="str">
        <f t="shared" si="3"/>
        <v>text</v>
      </c>
      <c r="H26" s="26"/>
      <c r="I26" s="10" t="s">
        <v>127</v>
      </c>
      <c r="J26" s="11" t="s">
        <v>2594</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milscm_2023_009.sny_202310_backup_mt2_iyakuhin_kanren.yakko_bunrui1_jpn_name IS '薬効分類1名';</v>
      </c>
    </row>
    <row r="27" spans="1:45" s="25" customFormat="1">
      <c r="A27" s="4"/>
      <c r="B27" s="21">
        <f t="shared" si="2"/>
        <v>15</v>
      </c>
      <c r="C27" s="6" t="s">
        <v>2574</v>
      </c>
      <c r="D27" s="6" t="s">
        <v>2575</v>
      </c>
      <c r="E27" s="8"/>
      <c r="F27" s="7" t="s">
        <v>737</v>
      </c>
      <c r="G27" s="7" t="str">
        <f t="shared" si="3"/>
        <v>text</v>
      </c>
      <c r="H27" s="26"/>
      <c r="I27" s="10" t="s">
        <v>127</v>
      </c>
      <c r="J27" s="11" t="s">
        <v>2595</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milscm_2023_009.sny_202310_backup_mt2_iyakuhin_kanren.yakko_bunrui2_jpn_name IS '薬効分類2名';</v>
      </c>
    </row>
    <row r="28" spans="1:45" s="25" customFormat="1">
      <c r="A28" s="4"/>
      <c r="B28" s="21">
        <f t="shared" si="2"/>
        <v>16</v>
      </c>
      <c r="C28" s="6" t="s">
        <v>2576</v>
      </c>
      <c r="D28" s="6" t="s">
        <v>2577</v>
      </c>
      <c r="E28" s="8"/>
      <c r="F28" s="7" t="s">
        <v>737</v>
      </c>
      <c r="G28" s="7" t="str">
        <f t="shared" ref="G28:G36" si="7">IF(F28="フラグ","boolean",IF(F28="文字列","text",IF(F28="整数","integer",IF(F28="実数","numeric",""))))</f>
        <v>text</v>
      </c>
      <c r="H28" s="26"/>
      <c r="I28" s="10" t="s">
        <v>127</v>
      </c>
      <c r="J28" s="11" t="s">
        <v>2596</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milscm_2023_009.sny_202310_backup_mt2_iyakuhin_kanren.yakko_bunrui3_jpn_name IS '薬効分類3名';</v>
      </c>
    </row>
    <row r="29" spans="1:45" s="25" customFormat="1">
      <c r="A29" s="4"/>
      <c r="B29" s="21">
        <f t="shared" si="2"/>
        <v>17</v>
      </c>
      <c r="C29" s="6" t="s">
        <v>2578</v>
      </c>
      <c r="D29" s="6" t="s">
        <v>2579</v>
      </c>
      <c r="E29" s="8"/>
      <c r="F29" s="7" t="s">
        <v>737</v>
      </c>
      <c r="G29" s="7" t="str">
        <f t="shared" si="7"/>
        <v>text</v>
      </c>
      <c r="H29" s="26"/>
      <c r="I29" s="10" t="s">
        <v>127</v>
      </c>
      <c r="J29" s="11" t="s">
        <v>2597</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milscm_2023_009.sny_202310_backup_mt2_iyakuhin_kanren.yakko_bunrui4_jpn_name IS '薬効分類4名';</v>
      </c>
    </row>
    <row r="30" spans="1:45" s="25" customFormat="1">
      <c r="A30" s="4"/>
      <c r="B30" s="21">
        <f t="shared" si="2"/>
        <v>18</v>
      </c>
      <c r="C30" s="6" t="s">
        <v>2580</v>
      </c>
      <c r="D30" s="6" t="s">
        <v>2581</v>
      </c>
      <c r="E30" s="8"/>
      <c r="F30" s="7" t="s">
        <v>737</v>
      </c>
      <c r="G30" s="7" t="str">
        <f t="shared" si="7"/>
        <v>text</v>
      </c>
      <c r="H30" s="26"/>
      <c r="I30" s="10" t="s">
        <v>127</v>
      </c>
      <c r="J30" s="11" t="s">
        <v>2598</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2582</v>
      </c>
      <c r="D31" s="6" t="s">
        <v>2583</v>
      </c>
      <c r="E31" s="8"/>
      <c r="F31" s="7" t="s">
        <v>737</v>
      </c>
      <c r="G31" s="7" t="str">
        <f t="shared" si="7"/>
        <v>text</v>
      </c>
      <c r="H31" s="26"/>
      <c r="I31" s="10"/>
      <c r="J31" s="11" t="s">
        <v>2599</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2584</v>
      </c>
      <c r="D32" s="6" t="s">
        <v>2585</v>
      </c>
      <c r="E32" s="8"/>
      <c r="F32" s="7" t="s">
        <v>737</v>
      </c>
      <c r="G32" s="7" t="str">
        <f t="shared" si="7"/>
        <v>text</v>
      </c>
      <c r="H32" s="26">
        <v>0</v>
      </c>
      <c r="I32" s="10" t="s">
        <v>127</v>
      </c>
      <c r="J32" s="11" t="s">
        <v>2590</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2586</v>
      </c>
      <c r="D33" s="6" t="s">
        <v>2587</v>
      </c>
      <c r="E33" s="8"/>
      <c r="F33" s="7" t="s">
        <v>737</v>
      </c>
      <c r="G33" s="7" t="str">
        <f t="shared" si="7"/>
        <v>text</v>
      </c>
      <c r="H33" s="26"/>
      <c r="I33" s="10" t="s">
        <v>127</v>
      </c>
      <c r="J33" s="11" t="s">
        <v>2590</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milscm_2023_009.sny_202310_backup_mt2_iyakuhin_kanren.toyo_keiro_kubun IS '投与経路区分';</v>
      </c>
    </row>
    <row r="34" spans="1:52" s="25" customFormat="1" ht="37.5">
      <c r="A34" s="4"/>
      <c r="B34" s="21">
        <f t="shared" si="2"/>
        <v>22</v>
      </c>
      <c r="C34" s="6" t="s">
        <v>1915</v>
      </c>
      <c r="D34" s="6" t="s">
        <v>2588</v>
      </c>
      <c r="E34" s="8" t="s">
        <v>127</v>
      </c>
      <c r="F34" s="7" t="s">
        <v>737</v>
      </c>
      <c r="G34" s="7" t="str">
        <f t="shared" si="7"/>
        <v>text</v>
      </c>
      <c r="H34" s="26" t="s">
        <v>1922</v>
      </c>
      <c r="I34" s="10" t="s">
        <v>127</v>
      </c>
      <c r="J34" s="11" t="s">
        <v>2600</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2509</v>
      </c>
      <c r="D35" s="6" t="s">
        <v>2510</v>
      </c>
      <c r="E35" s="8"/>
      <c r="F35" s="7" t="s">
        <v>737</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milscm_2023_009.sny_202310_backup_mt2_iyakuhin_kanren.new_f IS '最新フラグ';</v>
      </c>
    </row>
    <row r="36" spans="1:52" s="25" customFormat="1" ht="37.5">
      <c r="A36" s="4"/>
      <c r="B36" s="21">
        <f t="shared" si="2"/>
        <v>24</v>
      </c>
      <c r="C36" s="6" t="s">
        <v>2536</v>
      </c>
      <c r="D36" s="6" t="s">
        <v>1906</v>
      </c>
      <c r="E36" s="8"/>
      <c r="F36" s="7" t="s">
        <v>737</v>
      </c>
      <c r="G36" s="7" t="str">
        <f t="shared" si="7"/>
        <v>text</v>
      </c>
      <c r="H36" s="26">
        <v>0</v>
      </c>
      <c r="I36" s="10" t="s">
        <v>127</v>
      </c>
      <c r="J36" s="11" t="s">
        <v>2601</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milscm_2023_009.sny_202310_backup_mt2_iyakuhin_kanren.del_f IS '削除フラグ';</v>
      </c>
    </row>
    <row r="37" spans="1:52" s="25" customFormat="1" ht="37.5">
      <c r="A37" s="4"/>
      <c r="B37" s="21">
        <f t="shared" si="2"/>
        <v>25</v>
      </c>
      <c r="C37" s="6" t="s">
        <v>1969</v>
      </c>
      <c r="D37" s="6" t="s">
        <v>1908</v>
      </c>
      <c r="E37" s="8"/>
      <c r="F37" s="7" t="s">
        <v>737</v>
      </c>
      <c r="G37" s="7" t="str">
        <f t="shared" si="3"/>
        <v>text</v>
      </c>
      <c r="H37" s="26" t="s">
        <v>1922</v>
      </c>
      <c r="I37" s="10" t="s">
        <v>127</v>
      </c>
      <c r="J37" s="11" t="s">
        <v>2602</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milscm_2023_009.sny_202310_backup_mt2_iyakuhin_kanren.henkou_ymd IS '変更年月日';</v>
      </c>
    </row>
    <row r="38" spans="1:52" s="25" customFormat="1" ht="38.25" thickBot="1">
      <c r="A38" s="4"/>
      <c r="B38" s="27">
        <f>ROW()-12</f>
        <v>26</v>
      </c>
      <c r="C38" s="57" t="s">
        <v>1909</v>
      </c>
      <c r="D38" s="57" t="s">
        <v>1910</v>
      </c>
      <c r="E38" s="56"/>
      <c r="F38" s="56" t="s">
        <v>737</v>
      </c>
      <c r="G38" s="56" t="str">
        <f t="shared" si="3"/>
        <v>text</v>
      </c>
      <c r="H38" s="59" t="s">
        <v>1922</v>
      </c>
      <c r="I38" s="60" t="s">
        <v>127</v>
      </c>
      <c r="J38" s="64" t="s">
        <v>2603</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ENT_01_A4-08</v>
      </c>
      <c r="E6" s="240"/>
      <c r="F6" s="240"/>
      <c r="G6" s="240"/>
      <c r="H6" s="240"/>
      <c r="I6" s="240"/>
      <c r="J6" s="241"/>
    </row>
    <row r="7" spans="1:45">
      <c r="B7" s="229" t="s">
        <v>115</v>
      </c>
      <c r="C7" s="230"/>
      <c r="D7" s="231" t="s">
        <v>2604</v>
      </c>
      <c r="E7" s="232"/>
      <c r="F7" s="232"/>
      <c r="G7" s="232"/>
      <c r="H7" s="232"/>
      <c r="I7" s="232"/>
      <c r="J7" s="233"/>
    </row>
    <row r="8" spans="1:45">
      <c r="B8" s="229" t="s">
        <v>116</v>
      </c>
      <c r="C8" s="230"/>
      <c r="D8" s="231" t="str">
        <f>エンティティ一覧!AE2&amp;"_"&amp;D5&amp;"_mt2_price_kanren"</f>
        <v>sny_202310_backup_mt2_price_kanren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薬価関連マスタテーブルから組入れ条件の第一条件で絞り込んだ結果を格納するテーブル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milscm_2023_009.sny_202310_backup_mt2_price_kanren;</v>
      </c>
      <c r="O10" s="76"/>
      <c r="P10" s="76"/>
      <c r="Q10" s="76"/>
      <c r="R10" s="76"/>
      <c r="S10" s="76"/>
      <c r="T10" s="76"/>
      <c r="AJ10" s="76" t="str">
        <f>"ALTER TABLE ONLY "&amp;エンティティ一覧!$O$2&amp;"."&amp;D$8</f>
        <v>ALTER TABLE ONLY milscm_2023_009.sny_202310_backup_mt2_price_kanren</v>
      </c>
      <c r="AS10" s="76" t="str">
        <f>"ALTER TABLE "&amp;エンティティ一覧!$O$2&amp;"."&amp;D$8&amp;" OWNER TO pgmisgrp1;"</f>
        <v>ALTER TABLE milscm_2023_009.sny_202310_backup_mt2_price_kanren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milscm_2023_009.sny_202310_backup_mt2_price_kanren</v>
      </c>
      <c r="O11" s="76"/>
      <c r="P11" s="76"/>
      <c r="Q11" s="76"/>
      <c r="R11" s="76"/>
      <c r="S11" s="76"/>
      <c r="T11" s="76"/>
      <c r="AJ11" s="76" t="str">
        <f>"ADD CONSTRAINT "&amp;D$8&amp;"_pkey PRIMARY KEY"</f>
        <v>ADD CONSTRAINT sny_202310_backup_mt2_price_kanren_pkey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1159</v>
      </c>
      <c r="D13" s="6" t="s">
        <v>1160</v>
      </c>
      <c r="E13" s="8" t="s">
        <v>127</v>
      </c>
      <c r="F13" s="8" t="s">
        <v>737</v>
      </c>
      <c r="G13" s="7" t="str">
        <f>IF(F13="フラグ","boolean",IF(F13="文字列","text",IF(F13="整数","integer",IF(F13="実数","numeric",""))))</f>
        <v>text</v>
      </c>
      <c r="H13" s="9"/>
      <c r="I13" s="10" t="s">
        <v>127</v>
      </c>
      <c r="J13" s="11" t="s">
        <v>2608</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2605</v>
      </c>
      <c r="D14" s="6" t="s">
        <v>2606</v>
      </c>
      <c r="E14" s="8"/>
      <c r="F14" s="7" t="s">
        <v>2607</v>
      </c>
      <c r="G14" s="7" t="str">
        <f t="shared" ref="G14:G19" si="3">IF(F14="フラグ","boolean",IF(F14="文字列","text",IF(F14="整数","integer",IF(F14="実数","numeric",""))))</f>
        <v>numeric</v>
      </c>
      <c r="H14" s="26"/>
      <c r="I14" s="10" t="s">
        <v>127</v>
      </c>
      <c r="J14" s="11" t="s">
        <v>2608</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milscm_2023_009.sny_202310_backup_mt2_price_kanren.price IS '薬価';</v>
      </c>
    </row>
    <row r="15" spans="1:45" s="25" customFormat="1" ht="37.5">
      <c r="A15" s="4"/>
      <c r="B15" s="21">
        <f t="shared" si="2"/>
        <v>3</v>
      </c>
      <c r="C15" s="6" t="s">
        <v>1915</v>
      </c>
      <c r="D15" s="6" t="s">
        <v>2588</v>
      </c>
      <c r="E15" s="8" t="s">
        <v>127</v>
      </c>
      <c r="F15" s="7" t="s">
        <v>737</v>
      </c>
      <c r="G15" s="7" t="str">
        <f t="shared" si="3"/>
        <v>text</v>
      </c>
      <c r="H15" s="26">
        <v>99999999</v>
      </c>
      <c r="I15" s="10" t="s">
        <v>127</v>
      </c>
      <c r="J15" s="11" t="s">
        <v>2609</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2509</v>
      </c>
      <c r="D16" s="6" t="s">
        <v>2510</v>
      </c>
      <c r="E16" s="8"/>
      <c r="F16" s="7" t="s">
        <v>737</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2536</v>
      </c>
      <c r="D17" s="6" t="s">
        <v>1906</v>
      </c>
      <c r="E17" s="8"/>
      <c r="F17" s="7" t="s">
        <v>737</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milscm_2023_009.sny_202310_backup_mt2_price_kanren.del_f IS '削除フラグ';</v>
      </c>
    </row>
    <row r="18" spans="1:52" s="25" customFormat="1" ht="37.5">
      <c r="A18" s="4"/>
      <c r="B18" s="21">
        <f t="shared" si="2"/>
        <v>6</v>
      </c>
      <c r="C18" s="6" t="s">
        <v>1969</v>
      </c>
      <c r="D18" s="6" t="s">
        <v>1908</v>
      </c>
      <c r="E18" s="8"/>
      <c r="F18" s="7" t="s">
        <v>737</v>
      </c>
      <c r="G18" s="7" t="str">
        <f t="shared" si="3"/>
        <v>text</v>
      </c>
      <c r="H18" s="26">
        <v>99999999</v>
      </c>
      <c r="I18" s="10" t="s">
        <v>127</v>
      </c>
      <c r="J18" s="11" t="s">
        <v>2610</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milscm_2023_009.sny_202310_backup_mt2_price_kanren.henkou_ymd IS '変更年月日';</v>
      </c>
    </row>
    <row r="19" spans="1:52" s="25" customFormat="1" ht="38.25" thickBot="1">
      <c r="A19" s="4"/>
      <c r="B19" s="27">
        <f>ROW()-12</f>
        <v>7</v>
      </c>
      <c r="C19" s="57" t="s">
        <v>1909</v>
      </c>
      <c r="D19" s="57" t="s">
        <v>1910</v>
      </c>
      <c r="E19" s="56"/>
      <c r="F19" s="56" t="s">
        <v>737</v>
      </c>
      <c r="G19" s="56" t="str">
        <f t="shared" si="3"/>
        <v>text</v>
      </c>
      <c r="H19" s="59">
        <v>99999999</v>
      </c>
      <c r="I19" s="60" t="s">
        <v>127</v>
      </c>
      <c r="J19" s="64" t="s">
        <v>2610</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ENT_01_A4-09</v>
      </c>
      <c r="E6" s="240"/>
      <c r="F6" s="240"/>
      <c r="G6" s="240"/>
      <c r="H6" s="240"/>
      <c r="I6" s="240"/>
      <c r="J6" s="241"/>
    </row>
    <row r="7" spans="1:45">
      <c r="B7" s="229" t="s">
        <v>115</v>
      </c>
      <c r="C7" s="230"/>
      <c r="D7" s="231" t="s">
        <v>2611</v>
      </c>
      <c r="E7" s="232"/>
      <c r="F7" s="232"/>
      <c r="G7" s="232"/>
      <c r="H7" s="232"/>
      <c r="I7" s="232"/>
      <c r="J7" s="233"/>
    </row>
    <row r="8" spans="1:45">
      <c r="B8" s="229" t="s">
        <v>116</v>
      </c>
      <c r="C8" s="230"/>
      <c r="D8" s="231" t="str">
        <f>エンティティ一覧!AE2&amp;"_"&amp;D5&amp;"_mt2_shinryo_koi_kanren"</f>
        <v>sny_202310_backup_mt2_shinryo_koi_kanren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milscm_2023_009.sny_202310_backup_mt2_shinryo_koi_kanren;</v>
      </c>
      <c r="O10" s="76"/>
      <c r="P10" s="76"/>
      <c r="Q10" s="76"/>
      <c r="R10" s="76"/>
      <c r="S10" s="76"/>
      <c r="T10" s="76"/>
      <c r="AJ10" s="76" t="str">
        <f>"ALTER TABLE ONLY "&amp;エンティティ一覧!$O$2&amp;"."&amp;D$8</f>
        <v>ALTER TABLE ONLY milscm_2023_009.sny_202310_backup_mt2_shinryo_koi_kanren</v>
      </c>
      <c r="AS10" s="76" t="str">
        <f>"ALTER TABLE "&amp;エンティティ一覧!$O$2&amp;"."&amp;D$8&amp;" OWNER TO pgmisgrp1;"</f>
        <v>ALTER TABLE milscm_2023_009.sny_202310_backup_mt2_shinryo_koi_kanren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milscm_2023_009.sny_202310_backup_mt2_shinryo_koi_kanren</v>
      </c>
      <c r="O11" s="76"/>
      <c r="P11" s="76"/>
      <c r="Q11" s="76"/>
      <c r="R11" s="76"/>
      <c r="S11" s="76"/>
      <c r="T11" s="76"/>
      <c r="AJ11" s="76" t="str">
        <f>"ADD CONSTRAINT "&amp;D$8&amp;"_pkey PRIMARY KEY"</f>
        <v>ADD CONSTRAINT sny_202310_backup_mt2_shinryo_koi_kanren_pkey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1127</v>
      </c>
      <c r="D13" s="6" t="s">
        <v>2612</v>
      </c>
      <c r="E13" s="8" t="s">
        <v>127</v>
      </c>
      <c r="F13" s="8" t="s">
        <v>737</v>
      </c>
      <c r="G13" s="7" t="str">
        <f>IF(F13="フラグ","boolean",IF(F13="文字列","text",IF(F13="整数","integer",IF(F13="実数","numeric",""))))</f>
        <v>text</v>
      </c>
      <c r="H13" s="9"/>
      <c r="I13" s="10" t="s">
        <v>127</v>
      </c>
      <c r="J13" s="11" t="s">
        <v>2628</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2613</v>
      </c>
      <c r="D14" s="6" t="s">
        <v>2614</v>
      </c>
      <c r="E14" s="8"/>
      <c r="F14" s="7" t="s">
        <v>737</v>
      </c>
      <c r="G14" s="7" t="str">
        <f t="shared" ref="G14:G26" si="3">IF(F14="フラグ","boolean",IF(F14="文字列","text",IF(F14="整数","integer",IF(F14="実数","numeric",""))))</f>
        <v>text</v>
      </c>
      <c r="H14" s="26"/>
      <c r="I14" s="10"/>
      <c r="J14" s="11" t="s">
        <v>2628</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2615</v>
      </c>
      <c r="D15" s="6" t="s">
        <v>2616</v>
      </c>
      <c r="E15" s="8"/>
      <c r="F15" s="7" t="s">
        <v>737</v>
      </c>
      <c r="G15" s="7" t="str">
        <f t="shared" si="3"/>
        <v>text</v>
      </c>
      <c r="H15" s="26"/>
      <c r="I15" s="10"/>
      <c r="J15" s="11" t="s">
        <v>2628</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2617</v>
      </c>
      <c r="D16" s="6" t="s">
        <v>2618</v>
      </c>
      <c r="E16" s="8"/>
      <c r="F16" s="7" t="s">
        <v>737</v>
      </c>
      <c r="G16" s="7" t="str">
        <f t="shared" si="3"/>
        <v>text</v>
      </c>
      <c r="H16" s="26"/>
      <c r="I16" s="10"/>
      <c r="J16" s="11" t="s">
        <v>2628</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2433</v>
      </c>
      <c r="D17" s="6" t="s">
        <v>2619</v>
      </c>
      <c r="E17" s="8"/>
      <c r="F17" s="7" t="s">
        <v>737</v>
      </c>
      <c r="G17" s="7" t="str">
        <f t="shared" si="3"/>
        <v>text</v>
      </c>
      <c r="H17" s="26"/>
      <c r="I17" s="10"/>
      <c r="J17" s="11" t="s">
        <v>2628</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2336</v>
      </c>
      <c r="D18" s="6" t="s">
        <v>2620</v>
      </c>
      <c r="E18" s="8"/>
      <c r="F18" s="7" t="s">
        <v>737</v>
      </c>
      <c r="G18" s="7" t="str">
        <f t="shared" si="3"/>
        <v>text</v>
      </c>
      <c r="H18" s="26"/>
      <c r="I18" s="10"/>
      <c r="J18" s="11" t="s">
        <v>2628</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milscm_2023_009.sny_202310_backup_mt2_shinryo_koi_kanren.kubun_no IS '点数表区分番号';</v>
      </c>
    </row>
    <row r="19" spans="1:52" s="25" customFormat="1" ht="56.25">
      <c r="A19" s="4"/>
      <c r="B19" s="21">
        <f t="shared" si="2"/>
        <v>7</v>
      </c>
      <c r="C19" s="6" t="s">
        <v>1131</v>
      </c>
      <c r="D19" s="6" t="s">
        <v>47</v>
      </c>
      <c r="E19" s="8"/>
      <c r="F19" s="7" t="s">
        <v>2607</v>
      </c>
      <c r="G19" s="7" t="str">
        <f t="shared" si="3"/>
        <v>numeric</v>
      </c>
      <c r="H19" s="26"/>
      <c r="I19" s="10" t="s">
        <v>127</v>
      </c>
      <c r="J19" s="11" t="s">
        <v>2625</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milscm_2023_009.sny_202310_backup_mt2_shinryo_koi_kanren.point IS '点数';</v>
      </c>
    </row>
    <row r="20" spans="1:52" s="25" customFormat="1">
      <c r="A20" s="4"/>
      <c r="B20" s="21">
        <f t="shared" si="2"/>
        <v>8</v>
      </c>
      <c r="C20" s="6" t="s">
        <v>2621</v>
      </c>
      <c r="D20" s="6" t="s">
        <v>222</v>
      </c>
      <c r="E20" s="8"/>
      <c r="F20" s="7" t="s">
        <v>737</v>
      </c>
      <c r="G20" s="7" t="str">
        <f t="shared" si="3"/>
        <v>text</v>
      </c>
      <c r="H20" s="26"/>
      <c r="I20" s="10" t="s">
        <v>127</v>
      </c>
      <c r="J20" s="11" t="s">
        <v>2626</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2622</v>
      </c>
      <c r="D21" s="6" t="s">
        <v>2623</v>
      </c>
      <c r="E21" s="8"/>
      <c r="F21" s="7" t="s">
        <v>737</v>
      </c>
      <c r="G21" s="7" t="str">
        <f t="shared" si="3"/>
        <v>text</v>
      </c>
      <c r="H21" s="26"/>
      <c r="I21" s="10" t="s">
        <v>127</v>
      </c>
      <c r="J21" s="11" t="s">
        <v>2626</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milscm_2023_009.sny_202310_backup_mt2_shinryo_koi_kanren.shinryo_koi_kihonname IS '診療行為名';</v>
      </c>
    </row>
    <row r="22" spans="1:52" s="25" customFormat="1" ht="37.5">
      <c r="A22" s="4"/>
      <c r="B22" s="21">
        <f t="shared" si="2"/>
        <v>10</v>
      </c>
      <c r="C22" s="6" t="s">
        <v>2624</v>
      </c>
      <c r="D22" s="6" t="s">
        <v>1883</v>
      </c>
      <c r="E22" s="8" t="s">
        <v>127</v>
      </c>
      <c r="F22" s="7" t="s">
        <v>737</v>
      </c>
      <c r="G22" s="7" t="str">
        <f t="shared" si="3"/>
        <v>text</v>
      </c>
      <c r="H22" s="26"/>
      <c r="I22" s="10" t="s">
        <v>127</v>
      </c>
      <c r="J22" s="11" t="s">
        <v>2627</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2509</v>
      </c>
      <c r="D23" s="6" t="s">
        <v>2510</v>
      </c>
      <c r="E23" s="8"/>
      <c r="F23" s="7" t="s">
        <v>737</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milscm_2023_009.sny_202310_backup_mt2_shinryo_koi_kanren.new_f IS '最新フラグ';</v>
      </c>
    </row>
    <row r="24" spans="1:52" s="25" customFormat="1" ht="37.5">
      <c r="A24" s="4"/>
      <c r="B24" s="21">
        <f t="shared" si="2"/>
        <v>12</v>
      </c>
      <c r="C24" s="6" t="s">
        <v>2536</v>
      </c>
      <c r="D24" s="6" t="s">
        <v>1906</v>
      </c>
      <c r="E24" s="8"/>
      <c r="F24" s="7" t="s">
        <v>737</v>
      </c>
      <c r="G24" s="7" t="str">
        <f t="shared" si="3"/>
        <v>text</v>
      </c>
      <c r="H24" s="26">
        <v>0</v>
      </c>
      <c r="I24" s="10" t="s">
        <v>127</v>
      </c>
      <c r="J24" s="11" t="s">
        <v>2629</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milscm_2023_009.sny_202310_backup_mt2_shinryo_koi_kanren.del_f IS '削除フラグ';</v>
      </c>
    </row>
    <row r="25" spans="1:52" s="25" customFormat="1" ht="37.5">
      <c r="A25" s="4"/>
      <c r="B25" s="21">
        <f t="shared" si="2"/>
        <v>13</v>
      </c>
      <c r="C25" s="6" t="s">
        <v>1969</v>
      </c>
      <c r="D25" s="6" t="s">
        <v>1908</v>
      </c>
      <c r="E25" s="8"/>
      <c r="F25" s="7" t="s">
        <v>737</v>
      </c>
      <c r="G25" s="7" t="str">
        <f t="shared" si="3"/>
        <v>text</v>
      </c>
      <c r="H25" s="26">
        <v>99999999</v>
      </c>
      <c r="I25" s="10" t="s">
        <v>127</v>
      </c>
      <c r="J25" s="11" t="s">
        <v>2627</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milscm_2023_009.sny_202310_backup_mt2_shinryo_koi_kanren.henkou_ymd IS '変更年月日';</v>
      </c>
    </row>
    <row r="26" spans="1:52" s="25" customFormat="1" ht="38.25" thickBot="1">
      <c r="A26" s="4"/>
      <c r="B26" s="27">
        <f>ROW()-12</f>
        <v>14</v>
      </c>
      <c r="C26" s="57" t="s">
        <v>1909</v>
      </c>
      <c r="D26" s="57" t="s">
        <v>1910</v>
      </c>
      <c r="E26" s="56"/>
      <c r="F26" s="56" t="s">
        <v>737</v>
      </c>
      <c r="G26" s="56" t="str">
        <f t="shared" si="3"/>
        <v>text</v>
      </c>
      <c r="H26" s="59">
        <v>99999999</v>
      </c>
      <c r="I26" s="60" t="s">
        <v>127</v>
      </c>
      <c r="J26" s="64" t="s">
        <v>2630</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ENT_01_A4-10</v>
      </c>
      <c r="E6" s="240"/>
      <c r="F6" s="240"/>
      <c r="G6" s="240"/>
      <c r="H6" s="240"/>
      <c r="I6" s="240"/>
      <c r="J6" s="241"/>
    </row>
    <row r="7" spans="1:45">
      <c r="B7" s="229" t="s">
        <v>115</v>
      </c>
      <c r="C7" s="230"/>
      <c r="D7" s="231" t="s">
        <v>2631</v>
      </c>
      <c r="E7" s="232"/>
      <c r="F7" s="232"/>
      <c r="G7" s="232"/>
      <c r="H7" s="232"/>
      <c r="I7" s="232"/>
      <c r="J7" s="233"/>
    </row>
    <row r="8" spans="1:45">
      <c r="B8" s="229" t="s">
        <v>116</v>
      </c>
      <c r="C8" s="230"/>
      <c r="D8" s="231" t="str">
        <f>エンティティ一覧!AE2&amp;"_"&amp;D5&amp;"_mt2_tokutei_kizai_kanren"</f>
        <v>sny_202310_backup_mt2_tokutei_kizai_kanren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milscm_2023_009.sny_202310_backup_mt2_tokutei_kizai_kanren;</v>
      </c>
      <c r="O10" s="76"/>
      <c r="P10" s="76"/>
      <c r="Q10" s="76"/>
      <c r="R10" s="76"/>
      <c r="S10" s="76"/>
      <c r="T10" s="76"/>
      <c r="AJ10" s="76" t="str">
        <f>"ALTER TABLE ONLY "&amp;エンティティ一覧!$O$2&amp;"."&amp;D$8</f>
        <v>ALTER TABLE ONLY milscm_2023_009.sny_202310_backup_mt2_tokutei_kizai_kanren</v>
      </c>
      <c r="AS10" s="76" t="str">
        <f>"ALTER TABLE "&amp;エンティティ一覧!$O$2&amp;"."&amp;D$8&amp;" OWNER TO pgmisgrp1;"</f>
        <v>ALTER TABLE milscm_2023_009.sny_202310_backup_mt2_tokutei_kizai_kanren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milscm_2023_009.sny_202310_backup_mt2_tokutei_kizai_kanren</v>
      </c>
      <c r="O11" s="76"/>
      <c r="P11" s="76"/>
      <c r="Q11" s="76"/>
      <c r="R11" s="76"/>
      <c r="S11" s="76"/>
      <c r="T11" s="76"/>
      <c r="AJ11" s="76" t="str">
        <f>"ADD CONSTRAINT "&amp;D$8&amp;"_pkey PRIMARY KEY"</f>
        <v>ADD CONSTRAINT sny_202310_backup_mt2_tokutei_kizai_kanren_pkey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2632</v>
      </c>
      <c r="D13" s="6" t="s">
        <v>2633</v>
      </c>
      <c r="E13" s="8" t="s">
        <v>127</v>
      </c>
      <c r="F13" s="8" t="s">
        <v>737</v>
      </c>
      <c r="G13" s="7" t="str">
        <f>IF(F13="フラグ","boolean",IF(F13="文字列","text",IF(F13="整数","integer",IF(F13="実数","numeric",""))))</f>
        <v>text</v>
      </c>
      <c r="H13" s="9"/>
      <c r="I13" s="10" t="s">
        <v>127</v>
      </c>
      <c r="J13" s="11" t="s">
        <v>2638</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2634</v>
      </c>
      <c r="D14" s="6" t="s">
        <v>2635</v>
      </c>
      <c r="E14" s="8"/>
      <c r="F14" s="7" t="s">
        <v>737</v>
      </c>
      <c r="G14" s="7" t="str">
        <f t="shared" ref="G14:G21" si="3">IF(F14="フラグ","boolean",IF(F14="文字列","text",IF(F14="整数","integer",IF(F14="実数","numeric",""))))</f>
        <v>text</v>
      </c>
      <c r="H14" s="26"/>
      <c r="I14" s="10" t="s">
        <v>127</v>
      </c>
      <c r="J14" s="11" t="s">
        <v>2638</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1653</v>
      </c>
      <c r="D15" s="6" t="s">
        <v>2636</v>
      </c>
      <c r="E15" s="8"/>
      <c r="F15" s="7" t="s">
        <v>737</v>
      </c>
      <c r="G15" s="7" t="str">
        <f t="shared" si="3"/>
        <v>text</v>
      </c>
      <c r="H15" s="26"/>
      <c r="I15" s="10"/>
      <c r="J15" s="11" t="s">
        <v>2638</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milscm_2023_009.sny_202310_backup_mt2_tokutei_kizai_kanren.tokutei_kizai_tani IS '単位';</v>
      </c>
    </row>
    <row r="16" spans="1:45" s="25" customFormat="1" ht="56.25">
      <c r="A16" s="4"/>
      <c r="B16" s="21">
        <f t="shared" si="2"/>
        <v>4</v>
      </c>
      <c r="C16" s="6" t="s">
        <v>2637</v>
      </c>
      <c r="D16" s="6" t="s">
        <v>2606</v>
      </c>
      <c r="E16" s="8"/>
      <c r="F16" s="7" t="s">
        <v>2607</v>
      </c>
      <c r="G16" s="7" t="str">
        <f t="shared" si="3"/>
        <v>numeric</v>
      </c>
      <c r="H16" s="26"/>
      <c r="I16" s="10" t="s">
        <v>127</v>
      </c>
      <c r="J16" s="11" t="s">
        <v>2639</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1915</v>
      </c>
      <c r="D17" s="6" t="s">
        <v>1916</v>
      </c>
      <c r="E17" s="8" t="s">
        <v>127</v>
      </c>
      <c r="F17" s="7" t="s">
        <v>737</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2509</v>
      </c>
      <c r="D18" s="6" t="s">
        <v>2510</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milscm_2023_009.sny_202310_backup_mt2_tokutei_kizai_kanren.new_f IS '最新フラグ';</v>
      </c>
    </row>
    <row r="19" spans="1:52" s="25" customFormat="1" ht="37.5">
      <c r="A19" s="4"/>
      <c r="B19" s="21">
        <f t="shared" si="2"/>
        <v>7</v>
      </c>
      <c r="C19" s="6" t="s">
        <v>2536</v>
      </c>
      <c r="D19" s="6" t="s">
        <v>1906</v>
      </c>
      <c r="E19" s="8"/>
      <c r="F19" s="7" t="s">
        <v>737</v>
      </c>
      <c r="G19" s="7" t="str">
        <f t="shared" si="3"/>
        <v>text</v>
      </c>
      <c r="H19" s="26">
        <v>0</v>
      </c>
      <c r="I19" s="10" t="s">
        <v>127</v>
      </c>
      <c r="J19" s="11" t="s">
        <v>2640</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milscm_2023_009.sny_202310_backup_mt2_tokutei_kizai_kanren.del_f IS '削除フラグ';</v>
      </c>
    </row>
    <row r="20" spans="1:52" s="25" customFormat="1" ht="37.5">
      <c r="A20" s="4"/>
      <c r="B20" s="21">
        <f t="shared" si="2"/>
        <v>8</v>
      </c>
      <c r="C20" s="6" t="s">
        <v>1969</v>
      </c>
      <c r="D20" s="6" t="s">
        <v>1908</v>
      </c>
      <c r="E20" s="8"/>
      <c r="F20" s="7" t="s">
        <v>737</v>
      </c>
      <c r="G20" s="7" t="str">
        <f t="shared" si="3"/>
        <v>text</v>
      </c>
      <c r="H20" s="26">
        <v>99999999</v>
      </c>
      <c r="I20" s="10" t="s">
        <v>127</v>
      </c>
      <c r="J20" s="11" t="s">
        <v>2641</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milscm_2023_009.sny_202310_backup_mt2_tokutei_kizai_kanren.henkou_ymd IS '変更年月日';</v>
      </c>
    </row>
    <row r="21" spans="1:52" s="25" customFormat="1" ht="57" thickBot="1">
      <c r="A21" s="4"/>
      <c r="B21" s="27">
        <f>ROW()-12</f>
        <v>9</v>
      </c>
      <c r="C21" s="57" t="s">
        <v>1909</v>
      </c>
      <c r="D21" s="57" t="s">
        <v>1910</v>
      </c>
      <c r="E21" s="56"/>
      <c r="F21" s="56" t="s">
        <v>737</v>
      </c>
      <c r="G21" s="56" t="str">
        <f t="shared" si="3"/>
        <v>text</v>
      </c>
      <c r="H21" s="59">
        <v>99999999</v>
      </c>
      <c r="I21" s="60" t="s">
        <v>127</v>
      </c>
      <c r="J21" s="64" t="s">
        <v>2642</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ENT_01_A4-11</v>
      </c>
      <c r="E6" s="240"/>
      <c r="F6" s="240"/>
      <c r="G6" s="240"/>
      <c r="H6" s="240"/>
      <c r="I6" s="240"/>
      <c r="J6" s="241"/>
    </row>
    <row r="7" spans="1:45">
      <c r="B7" s="229" t="s">
        <v>115</v>
      </c>
      <c r="C7" s="230"/>
      <c r="D7" s="231" t="s">
        <v>2643</v>
      </c>
      <c r="E7" s="232"/>
      <c r="F7" s="232"/>
      <c r="G7" s="232"/>
      <c r="H7" s="232"/>
      <c r="I7" s="232"/>
      <c r="J7" s="233"/>
    </row>
    <row r="8" spans="1:45">
      <c r="B8" s="229" t="s">
        <v>116</v>
      </c>
      <c r="C8" s="230"/>
      <c r="D8" s="231" t="str">
        <f>エンティティ一覧!AE2&amp;"_"&amp;D5&amp;"_mt2_dpc_kanren"</f>
        <v>sny_202310_backup_mt2_dpc_kanren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milscm_2023_009.sny_202310_backup_mt2_dpc_kanren;</v>
      </c>
      <c r="O10" s="76"/>
      <c r="P10" s="76"/>
      <c r="Q10" s="76"/>
      <c r="R10" s="76"/>
      <c r="S10" s="76"/>
      <c r="T10" s="76"/>
      <c r="AJ10" s="76" t="str">
        <f>"ALTER TABLE ONLY "&amp;エンティティ一覧!$O$2&amp;"."&amp;D$8</f>
        <v>ALTER TABLE ONLY milscm_2023_009.sny_202310_backup_mt2_dpc_kanren</v>
      </c>
      <c r="AS10" s="76" t="str">
        <f>"ALTER TABLE "&amp;エンティティ一覧!$O$2&amp;"."&amp;D$8&amp;" OWNER TO pgmisgrp1;"</f>
        <v>ALTER TABLE milscm_2023_009.sny_202310_backup_mt2_dpc_kanren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milscm_2023_009.sny_202310_backup_mt2_dpc_kanren</v>
      </c>
      <c r="O11" s="76"/>
      <c r="P11" s="76"/>
      <c r="Q11" s="76"/>
      <c r="R11" s="76"/>
      <c r="S11" s="76"/>
      <c r="T11" s="76"/>
      <c r="AJ11" s="76" t="str">
        <f>"ADD CONSTRAINT "&amp;D$8&amp;"_pkey PRIMARY KEY"</f>
        <v>ADD CONSTRAINT sny_202310_backup_mt2_dpc_kanren_pkey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milscm_2023_009.sny_202310_backup_mt2_dpc_kanren IS 'バックアップ_DPC関連マスタ';</v>
      </c>
    </row>
    <row r="13" spans="1:45" s="25" customFormat="1">
      <c r="A13" s="4"/>
      <c r="B13" s="21">
        <f>ROW()-12</f>
        <v>1</v>
      </c>
      <c r="C13" s="6" t="s">
        <v>1930</v>
      </c>
      <c r="D13" s="6" t="s">
        <v>1931</v>
      </c>
      <c r="E13" s="8"/>
      <c r="F13" s="8" t="s">
        <v>737</v>
      </c>
      <c r="G13" s="7" t="str">
        <f>IF(F13="フラグ","boolean",IF(F13="文字列","text",IF(F13="整数","integer",IF(F13="実数","numeric",""))))</f>
        <v>text</v>
      </c>
      <c r="H13" s="9"/>
      <c r="I13" s="10" t="s">
        <v>127</v>
      </c>
      <c r="J13" s="11" t="s">
        <v>2648</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2644</v>
      </c>
      <c r="D14" s="6" t="s">
        <v>2645</v>
      </c>
      <c r="E14" s="8"/>
      <c r="F14" s="7" t="s">
        <v>737</v>
      </c>
      <c r="G14" s="7" t="str">
        <f t="shared" ref="G14:G21" si="3">IF(F14="フラグ","boolean",IF(F14="文字列","text",IF(F14="整数","integer",IF(F14="実数","numeric",""))))</f>
        <v>text</v>
      </c>
      <c r="H14" s="26"/>
      <c r="I14" s="10" t="s">
        <v>127</v>
      </c>
      <c r="J14" s="11" t="s">
        <v>2648</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milscm_2023_009.sny_202310_backup_mt2_dpc_kanren.dpc2_name IS 'DPC2桁名';</v>
      </c>
    </row>
    <row r="15" spans="1:45" s="25" customFormat="1" ht="37.5">
      <c r="A15" s="4"/>
      <c r="B15" s="21">
        <f t="shared" si="2"/>
        <v>3</v>
      </c>
      <c r="C15" s="6" t="s">
        <v>1932</v>
      </c>
      <c r="D15" s="6" t="s">
        <v>1933</v>
      </c>
      <c r="E15" s="8" t="s">
        <v>127</v>
      </c>
      <c r="F15" s="7" t="s">
        <v>737</v>
      </c>
      <c r="G15" s="7" t="str">
        <f t="shared" si="3"/>
        <v>text</v>
      </c>
      <c r="H15" s="26"/>
      <c r="I15" s="10" t="s">
        <v>127</v>
      </c>
      <c r="J15" s="11" t="s">
        <v>2649</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2646</v>
      </c>
      <c r="D16" s="6" t="s">
        <v>2647</v>
      </c>
      <c r="E16" s="8"/>
      <c r="F16" s="7" t="s">
        <v>737</v>
      </c>
      <c r="G16" s="7" t="str">
        <f t="shared" si="3"/>
        <v>text</v>
      </c>
      <c r="H16" s="26"/>
      <c r="I16" s="10" t="s">
        <v>127</v>
      </c>
      <c r="J16" s="11" t="s">
        <v>2650</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milscm_2023_009.sny_202310_backup_mt2_dpc_kanren.dpc6_name IS 'DPC6桁名';</v>
      </c>
    </row>
    <row r="17" spans="1:52" s="25" customFormat="1" ht="37.5">
      <c r="A17" s="4"/>
      <c r="B17" s="21">
        <f t="shared" si="2"/>
        <v>5</v>
      </c>
      <c r="C17" s="6" t="s">
        <v>1915</v>
      </c>
      <c r="D17" s="6" t="s">
        <v>1916</v>
      </c>
      <c r="E17" s="8" t="s">
        <v>127</v>
      </c>
      <c r="F17" s="7" t="s">
        <v>737</v>
      </c>
      <c r="G17" s="7" t="str">
        <f t="shared" si="3"/>
        <v>text</v>
      </c>
      <c r="H17" s="26">
        <v>99999999</v>
      </c>
      <c r="I17" s="10" t="s">
        <v>127</v>
      </c>
      <c r="J17" s="11" t="s">
        <v>2651</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2509</v>
      </c>
      <c r="D18" s="6" t="s">
        <v>2510</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milscm_2023_009.sny_202310_backup_mt2_dpc_kanren.new_f IS '最新フラグ';</v>
      </c>
    </row>
    <row r="19" spans="1:52" s="25" customFormat="1">
      <c r="A19" s="4"/>
      <c r="B19" s="21">
        <f t="shared" si="2"/>
        <v>7</v>
      </c>
      <c r="C19" s="6" t="s">
        <v>2536</v>
      </c>
      <c r="D19" s="6" t="s">
        <v>1906</v>
      </c>
      <c r="E19" s="8"/>
      <c r="F19" s="7" t="s">
        <v>737</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milscm_2023_009.sny_202310_backup_mt2_dpc_kanren.del_f IS '削除フラグ';</v>
      </c>
    </row>
    <row r="20" spans="1:52" s="25" customFormat="1" ht="37.5">
      <c r="A20" s="4"/>
      <c r="B20" s="21">
        <f t="shared" si="2"/>
        <v>8</v>
      </c>
      <c r="C20" s="6" t="s">
        <v>1969</v>
      </c>
      <c r="D20" s="6" t="s">
        <v>1908</v>
      </c>
      <c r="E20" s="8"/>
      <c r="F20" s="7" t="s">
        <v>737</v>
      </c>
      <c r="G20" s="7" t="str">
        <f t="shared" si="3"/>
        <v>text</v>
      </c>
      <c r="H20" s="26">
        <v>99999999</v>
      </c>
      <c r="I20" s="10" t="s">
        <v>127</v>
      </c>
      <c r="J20" s="11" t="s">
        <v>2651</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milscm_2023_009.sny_202310_backup_mt2_dpc_kanren.henkou_ymd IS '変更年月日';</v>
      </c>
    </row>
    <row r="21" spans="1:52" s="25" customFormat="1" ht="38.25" thickBot="1">
      <c r="A21" s="4"/>
      <c r="B21" s="27">
        <f>ROW()-12</f>
        <v>9</v>
      </c>
      <c r="C21" s="57" t="s">
        <v>1909</v>
      </c>
      <c r="D21" s="57" t="s">
        <v>1910</v>
      </c>
      <c r="E21" s="56"/>
      <c r="F21" s="56" t="s">
        <v>737</v>
      </c>
      <c r="G21" s="56" t="str">
        <f t="shared" si="3"/>
        <v>text</v>
      </c>
      <c r="H21" s="59">
        <v>99999999</v>
      </c>
      <c r="I21" s="60" t="s">
        <v>127</v>
      </c>
      <c r="J21" s="64" t="s">
        <v>2651</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ENT_01_A4-12</v>
      </c>
      <c r="E6" s="240"/>
      <c r="F6" s="240"/>
      <c r="G6" s="240"/>
      <c r="H6" s="240"/>
      <c r="I6" s="240"/>
      <c r="J6" s="241"/>
    </row>
    <row r="7" spans="1:45">
      <c r="B7" s="229" t="s">
        <v>115</v>
      </c>
      <c r="C7" s="230"/>
      <c r="D7" s="231" t="s">
        <v>2652</v>
      </c>
      <c r="E7" s="232"/>
      <c r="F7" s="232"/>
      <c r="G7" s="232"/>
      <c r="H7" s="232"/>
      <c r="I7" s="232"/>
      <c r="J7" s="233"/>
    </row>
    <row r="8" spans="1:45">
      <c r="B8" s="229" t="s">
        <v>116</v>
      </c>
      <c r="C8" s="230"/>
      <c r="D8" s="231" t="str">
        <f>エンティティ一覧!AE2&amp;"_"&amp;D5&amp;"_mt2_shikkan_kanren"</f>
        <v>sny_202310_backup_mt2_shikkan_kanren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疾患関連マスタテーブルから組入れ条件の第一条件で絞り込んだ結果を格納するテーブル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milscm_2023_009.sny_202310_backup_mt2_shikkan_kanren;</v>
      </c>
      <c r="O10" s="76"/>
      <c r="P10" s="76"/>
      <c r="Q10" s="76"/>
      <c r="R10" s="76"/>
      <c r="S10" s="76"/>
      <c r="T10" s="76"/>
      <c r="AJ10" s="76" t="str">
        <f>"ALTER TABLE ONLY "&amp;エンティティ一覧!$O$2&amp;"."&amp;D$8</f>
        <v>ALTER TABLE ONLY milscm_2023_009.sny_202310_backup_mt2_shikkan_kanren</v>
      </c>
      <c r="AS10" s="76" t="str">
        <f>"ALTER TABLE "&amp;エンティティ一覧!$O$2&amp;"."&amp;D$8&amp;" OWNER TO pgmisgrp1;"</f>
        <v>ALTER TABLE milscm_2023_009.sny_202310_backup_mt2_shikkan_kanren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milscm_2023_009.sny_202310_backup_mt2_shikkan_kanren</v>
      </c>
      <c r="O11" s="76"/>
      <c r="P11" s="76"/>
      <c r="Q11" s="76"/>
      <c r="R11" s="76"/>
      <c r="S11" s="76"/>
      <c r="T11" s="76"/>
      <c r="AJ11" s="76" t="str">
        <f>"ADD CONSTRAINT "&amp;D$8&amp;"_pkey PRIMARY KEY"</f>
        <v>ADD CONSTRAINT sny_202310_backup_mt2_shikkan_kanren_pkey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2653</v>
      </c>
      <c r="D13" s="6" t="s">
        <v>2654</v>
      </c>
      <c r="E13" s="8" t="s">
        <v>127</v>
      </c>
      <c r="F13" s="8" t="s">
        <v>737</v>
      </c>
      <c r="G13" s="7" t="str">
        <f>IF(F13="フラグ","boolean",IF(F13="文字列","text",IF(F13="整数","integer",IF(F13="実数","numeric",""))))</f>
        <v>text</v>
      </c>
      <c r="H13" s="9"/>
      <c r="I13" s="10" t="s">
        <v>127</v>
      </c>
      <c r="J13" s="11" t="s">
        <v>2673</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2655</v>
      </c>
      <c r="D14" s="6" t="s">
        <v>2656</v>
      </c>
      <c r="E14" s="8"/>
      <c r="F14" s="7" t="s">
        <v>737</v>
      </c>
      <c r="G14" s="7" t="str">
        <f t="shared" ref="G14:G28" si="3">IF(F14="フラグ","boolean",IF(F14="文字列","text",IF(F14="整数","integer",IF(F14="実数","numeric",""))))</f>
        <v>text</v>
      </c>
      <c r="H14" s="26"/>
      <c r="I14" s="10"/>
      <c r="J14" s="11" t="s">
        <v>2673</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2657</v>
      </c>
      <c r="D15" s="6" t="s">
        <v>2658</v>
      </c>
      <c r="E15" s="8"/>
      <c r="F15" s="7" t="s">
        <v>737</v>
      </c>
      <c r="G15" s="7" t="str">
        <f t="shared" si="3"/>
        <v>text</v>
      </c>
      <c r="H15" s="26"/>
      <c r="I15" s="10"/>
      <c r="J15" s="11" t="s">
        <v>2673</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2659</v>
      </c>
      <c r="D16" s="6" t="s">
        <v>894</v>
      </c>
      <c r="E16" s="8"/>
      <c r="F16" s="7" t="s">
        <v>737</v>
      </c>
      <c r="G16" s="7" t="str">
        <f t="shared" si="3"/>
        <v>text</v>
      </c>
      <c r="H16" s="26"/>
      <c r="I16" s="10"/>
      <c r="J16" s="11" t="s">
        <v>2673</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2660</v>
      </c>
      <c r="D17" s="6" t="s">
        <v>2661</v>
      </c>
      <c r="E17" s="8"/>
      <c r="F17" s="7" t="s">
        <v>737</v>
      </c>
      <c r="G17" s="7" t="str">
        <f t="shared" si="3"/>
        <v>text</v>
      </c>
      <c r="H17" s="26"/>
      <c r="I17" s="10"/>
      <c r="J17" s="11" t="s">
        <v>2673</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2089</v>
      </c>
      <c r="D18" s="6" t="s">
        <v>2090</v>
      </c>
      <c r="E18" s="8"/>
      <c r="F18" s="7" t="s">
        <v>737</v>
      </c>
      <c r="G18" s="7" t="str">
        <f t="shared" si="3"/>
        <v>text</v>
      </c>
      <c r="H18" s="26"/>
      <c r="I18" s="10" t="s">
        <v>127</v>
      </c>
      <c r="J18" s="11" t="s">
        <v>2673</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2662</v>
      </c>
      <c r="D19" s="6" t="s">
        <v>2663</v>
      </c>
      <c r="E19" s="8"/>
      <c r="F19" s="7" t="s">
        <v>737</v>
      </c>
      <c r="G19" s="7" t="str">
        <f t="shared" si="3"/>
        <v>text</v>
      </c>
      <c r="H19" s="26"/>
      <c r="I19" s="10"/>
      <c r="J19" s="11" t="s">
        <v>2674</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2664</v>
      </c>
      <c r="D20" s="6" t="s">
        <v>2665</v>
      </c>
      <c r="E20" s="8"/>
      <c r="F20" s="7" t="s">
        <v>737</v>
      </c>
      <c r="G20" s="7" t="str">
        <f t="shared" ref="G20:G26" si="7">IF(F20="フラグ","boolean",IF(F20="文字列","text",IF(F20="整数","integer",IF(F20="実数","numeric",""))))</f>
        <v>text</v>
      </c>
      <c r="H20" s="26"/>
      <c r="I20" s="10"/>
      <c r="J20" s="11" t="s">
        <v>2675</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2666</v>
      </c>
      <c r="D21" s="6" t="s">
        <v>895</v>
      </c>
      <c r="E21" s="8"/>
      <c r="F21" s="7" t="s">
        <v>737</v>
      </c>
      <c r="G21" s="7" t="str">
        <f t="shared" si="7"/>
        <v>text</v>
      </c>
      <c r="H21" s="26"/>
      <c r="I21" s="10"/>
      <c r="J21" s="11" t="s">
        <v>2676</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2667</v>
      </c>
      <c r="D22" s="6" t="s">
        <v>2668</v>
      </c>
      <c r="E22" s="8"/>
      <c r="F22" s="7" t="s">
        <v>737</v>
      </c>
      <c r="G22" s="7" t="str">
        <f t="shared" si="7"/>
        <v>text</v>
      </c>
      <c r="H22" s="26"/>
      <c r="I22" s="10"/>
      <c r="J22" s="11" t="s">
        <v>2677</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milscm_2023_009.sny_202310_backup_mt2_shikkan_kanren.icd10_ss_name IS 'ICD10細分類名';</v>
      </c>
    </row>
    <row r="23" spans="1:52" s="25" customFormat="1" ht="56.25">
      <c r="A23" s="4"/>
      <c r="B23" s="21">
        <f t="shared" si="2"/>
        <v>11</v>
      </c>
      <c r="C23" s="6" t="s">
        <v>2669</v>
      </c>
      <c r="D23" s="6" t="s">
        <v>2670</v>
      </c>
      <c r="E23" s="8" t="s">
        <v>127</v>
      </c>
      <c r="F23" s="7" t="s">
        <v>737</v>
      </c>
      <c r="G23" s="7" t="str">
        <f t="shared" si="7"/>
        <v>text</v>
      </c>
      <c r="H23" s="26">
        <v>0</v>
      </c>
      <c r="I23" s="10"/>
      <c r="J23" s="11" t="s">
        <v>2678</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milscm_2023_009.sny_202310_backup_mt2_shikkan_kanren.icd10_kubun IS 'ICD10区分';</v>
      </c>
    </row>
    <row r="24" spans="1:52" s="25" customFormat="1" ht="37.5">
      <c r="A24" s="4"/>
      <c r="B24" s="21">
        <f t="shared" si="2"/>
        <v>12</v>
      </c>
      <c r="C24" s="6" t="s">
        <v>2671</v>
      </c>
      <c r="D24" s="6" t="s">
        <v>1916</v>
      </c>
      <c r="E24" s="8" t="s">
        <v>127</v>
      </c>
      <c r="F24" s="7" t="s">
        <v>737</v>
      </c>
      <c r="G24" s="7" t="str">
        <f t="shared" si="7"/>
        <v>text</v>
      </c>
      <c r="H24" s="26">
        <v>99999999</v>
      </c>
      <c r="I24" s="10" t="s">
        <v>127</v>
      </c>
      <c r="J24" s="11" t="s">
        <v>2679</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milscm_2023_009.sny_202310_backup_mt2_shikkan_kanren.siko_ymd IS '施行年月日';</v>
      </c>
    </row>
    <row r="25" spans="1:52" s="25" customFormat="1" ht="56.25">
      <c r="A25" s="4"/>
      <c r="B25" s="21">
        <f t="shared" si="2"/>
        <v>13</v>
      </c>
      <c r="C25" s="6" t="s">
        <v>2509</v>
      </c>
      <c r="D25" s="6" t="s">
        <v>2510</v>
      </c>
      <c r="E25" s="8"/>
      <c r="F25" s="7" t="s">
        <v>737</v>
      </c>
      <c r="G25" s="7" t="str">
        <f t="shared" si="7"/>
        <v>text</v>
      </c>
      <c r="H25" s="26">
        <v>0</v>
      </c>
      <c r="I25" s="10" t="s">
        <v>127</v>
      </c>
      <c r="J25" s="11" t="s">
        <v>2680</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2536</v>
      </c>
      <c r="D26" s="6" t="s">
        <v>1906</v>
      </c>
      <c r="E26" s="8"/>
      <c r="F26" s="7" t="s">
        <v>737</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milscm_2023_009.sny_202310_backup_mt2_shikkan_kanren.del_f IS '削除フラグ';</v>
      </c>
    </row>
    <row r="27" spans="1:52" s="25" customFormat="1" ht="37.5">
      <c r="A27" s="4"/>
      <c r="B27" s="21">
        <f t="shared" si="2"/>
        <v>15</v>
      </c>
      <c r="C27" s="6" t="s">
        <v>2672</v>
      </c>
      <c r="D27" s="6" t="s">
        <v>1908</v>
      </c>
      <c r="E27" s="8"/>
      <c r="F27" s="7" t="s">
        <v>737</v>
      </c>
      <c r="G27" s="7" t="str">
        <f t="shared" si="3"/>
        <v>text</v>
      </c>
      <c r="H27" s="26">
        <v>99999999</v>
      </c>
      <c r="I27" s="10" t="s">
        <v>127</v>
      </c>
      <c r="J27" s="11" t="s">
        <v>2679</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milscm_2023_009.sny_202310_backup_mt2_shikkan_kanren.henkou_ymd IS '変更年月日';</v>
      </c>
    </row>
    <row r="28" spans="1:52" s="25" customFormat="1" ht="38.25" thickBot="1">
      <c r="A28" s="4"/>
      <c r="B28" s="27">
        <f>ROW()-12</f>
        <v>16</v>
      </c>
      <c r="C28" s="57" t="s">
        <v>1909</v>
      </c>
      <c r="D28" s="57" t="s">
        <v>1910</v>
      </c>
      <c r="E28" s="56"/>
      <c r="F28" s="56" t="s">
        <v>737</v>
      </c>
      <c r="G28" s="56" t="str">
        <f t="shared" si="3"/>
        <v>text</v>
      </c>
      <c r="H28" s="59">
        <v>99999999</v>
      </c>
      <c r="I28" s="60" t="s">
        <v>127</v>
      </c>
      <c r="J28" s="64" t="s">
        <v>2679</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ENT_01_A4-13</v>
      </c>
      <c r="E6" s="240"/>
      <c r="F6" s="240"/>
      <c r="G6" s="240"/>
      <c r="H6" s="240"/>
      <c r="I6" s="240"/>
      <c r="J6" s="241"/>
    </row>
    <row r="7" spans="1:45">
      <c r="B7" s="229" t="s">
        <v>115</v>
      </c>
      <c r="C7" s="230"/>
      <c r="D7" s="231" t="s">
        <v>2681</v>
      </c>
      <c r="E7" s="232"/>
      <c r="F7" s="232"/>
      <c r="G7" s="232"/>
      <c r="H7" s="232"/>
      <c r="I7" s="232"/>
      <c r="J7" s="233"/>
    </row>
    <row r="8" spans="1:45">
      <c r="B8" s="229" t="s">
        <v>116</v>
      </c>
      <c r="C8" s="230"/>
      <c r="D8" s="231" t="str">
        <f>エンティティ一覧!AE2&amp;"_"&amp;D5&amp;"_mt2_iyakuhin_seibun_kanren"</f>
        <v>sny_202310_backup_mt2_iyakuhin_seibun_kanren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milscm_2023_009.sny_202310_backup_mt2_iyakuhin_seibun_kanren;</v>
      </c>
      <c r="O10" s="76"/>
      <c r="P10" s="76"/>
      <c r="Q10" s="76"/>
      <c r="R10" s="76"/>
      <c r="S10" s="76"/>
      <c r="T10" s="76"/>
      <c r="AJ10" s="76" t="str">
        <f>"ALTER TABLE ONLY "&amp;エンティティ一覧!$O$2&amp;"."&amp;D$8</f>
        <v>ALTER TABLE ONLY milscm_2023_009.sny_202310_backup_mt2_iyakuhin_seibun_kanren</v>
      </c>
      <c r="AS10" s="76" t="str">
        <f>"ALTER TABLE "&amp;エンティティ一覧!$O$2&amp;"."&amp;D$8&amp;" OWNER TO pgmisgrp1;"</f>
        <v>ALTER TABLE milscm_2023_009.sny_202310_backup_mt2_iyakuhin_seibun_kanren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milscm_2023_009.sny_202310_backup_mt2_iyakuhin_seibun_kanren</v>
      </c>
      <c r="O11" s="76"/>
      <c r="P11" s="76"/>
      <c r="Q11" s="76"/>
      <c r="R11" s="76"/>
      <c r="S11" s="76"/>
      <c r="T11" s="76"/>
      <c r="AJ11" s="76" t="str">
        <f>"ADD CONSTRAINT "&amp;D$8&amp;"_pkey PRIMARY KEY"</f>
        <v>ADD CONSTRAINT sny_202310_backup_mt2_iyakuhin_seibun_kanren_pkey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2030</v>
      </c>
      <c r="D13" s="6" t="s">
        <v>2682</v>
      </c>
      <c r="E13" s="8" t="s">
        <v>127</v>
      </c>
      <c r="F13" s="8" t="s">
        <v>1739</v>
      </c>
      <c r="G13" s="7" t="str">
        <f>IF(F13="フラグ","boolean",IF(F13="文字列","text",IF(F13="整数","integer",IF(F13="実数","numeric",""))))</f>
        <v>text</v>
      </c>
      <c r="H13" s="9"/>
      <c r="I13" s="10" t="s">
        <v>127</v>
      </c>
      <c r="J13" s="11" t="s">
        <v>2691</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milscm_2023_009.sny_202310_backup_mt2_iyakuhin_seibun_kanren.yj_cd IS 'ＹＪコード';</v>
      </c>
    </row>
    <row r="14" spans="1:45" s="25" customFormat="1" ht="37.5">
      <c r="A14" s="4"/>
      <c r="B14" s="21">
        <f t="shared" ref="B14:B31" si="2">ROW()-12</f>
        <v>2</v>
      </c>
      <c r="C14" s="6" t="s">
        <v>1159</v>
      </c>
      <c r="D14" s="6" t="s">
        <v>2549</v>
      </c>
      <c r="E14" s="8"/>
      <c r="F14" s="7" t="s">
        <v>737</v>
      </c>
      <c r="G14" s="7" t="str">
        <f t="shared" ref="G14:G32" si="3">IF(F14="フラグ","boolean",IF(F14="文字列","text",IF(F14="整数","integer",IF(F14="実数","numeric",""))))</f>
        <v>text</v>
      </c>
      <c r="H14" s="26"/>
      <c r="I14" s="10"/>
      <c r="J14" s="11" t="s">
        <v>2692</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milscm_2023_009.sny_202310_backup_mt2_iyakuhin_seibun_kanren.iyakuhin_cd IS '医薬品コード';</v>
      </c>
    </row>
    <row r="15" spans="1:45" s="25" customFormat="1" ht="37.5">
      <c r="A15" s="4"/>
      <c r="B15" s="21">
        <f t="shared" si="2"/>
        <v>3</v>
      </c>
      <c r="C15" s="6" t="s">
        <v>2115</v>
      </c>
      <c r="D15" s="6" t="s">
        <v>2116</v>
      </c>
      <c r="E15" s="8"/>
      <c r="F15" s="7" t="s">
        <v>1739</v>
      </c>
      <c r="G15" s="7" t="str">
        <f t="shared" si="3"/>
        <v>text</v>
      </c>
      <c r="H15" s="26"/>
      <c r="I15" s="10"/>
      <c r="J15" s="11" t="s">
        <v>2692</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milscm_2023_009.sny_202310_backup_mt2_iyakuhin_seibun_kanren.iyakuhin_name IS '医薬品名';</v>
      </c>
    </row>
    <row r="16" spans="1:45" s="25" customFormat="1" ht="56.25">
      <c r="A16" s="4"/>
      <c r="B16" s="21">
        <f t="shared" si="2"/>
        <v>4</v>
      </c>
      <c r="C16" s="6" t="s">
        <v>2032</v>
      </c>
      <c r="D16" s="6" t="s">
        <v>2033</v>
      </c>
      <c r="E16" s="8"/>
      <c r="F16" s="7" t="s">
        <v>1739</v>
      </c>
      <c r="G16" s="7" t="str">
        <f t="shared" si="3"/>
        <v>text</v>
      </c>
      <c r="H16" s="26"/>
      <c r="I16" s="10" t="s">
        <v>127</v>
      </c>
      <c r="J16" s="11" t="s">
        <v>2693</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2034</v>
      </c>
      <c r="D17" s="6" t="s">
        <v>2683</v>
      </c>
      <c r="E17" s="8"/>
      <c r="F17" s="7" t="s">
        <v>1739</v>
      </c>
      <c r="G17" s="7" t="str">
        <f t="shared" si="3"/>
        <v>text</v>
      </c>
      <c r="H17" s="26"/>
      <c r="I17" s="10" t="s">
        <v>127</v>
      </c>
      <c r="J17" s="11" t="s">
        <v>2694</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2036</v>
      </c>
      <c r="D18" s="6" t="s">
        <v>2684</v>
      </c>
      <c r="E18" s="8" t="s">
        <v>127</v>
      </c>
      <c r="F18" s="7" t="s">
        <v>1739</v>
      </c>
      <c r="G18" s="7" t="str">
        <f t="shared" si="3"/>
        <v>text</v>
      </c>
      <c r="H18" s="26"/>
      <c r="I18" s="10" t="s">
        <v>127</v>
      </c>
      <c r="J18" s="11" t="s">
        <v>2694</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2061</v>
      </c>
      <c r="D19" s="6" t="s">
        <v>2062</v>
      </c>
      <c r="E19" s="8"/>
      <c r="F19" s="7" t="s">
        <v>1739</v>
      </c>
      <c r="G19" s="7" t="str">
        <f t="shared" si="3"/>
        <v>text</v>
      </c>
      <c r="H19" s="26"/>
      <c r="I19" s="10" t="s">
        <v>127</v>
      </c>
      <c r="J19" s="11" t="s">
        <v>2695</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2038</v>
      </c>
      <c r="D20" s="6" t="s">
        <v>2039</v>
      </c>
      <c r="E20" s="8"/>
      <c r="F20" s="7" t="s">
        <v>1746</v>
      </c>
      <c r="G20" s="7" t="str">
        <f t="shared" si="3"/>
        <v>numeric</v>
      </c>
      <c r="H20" s="26"/>
      <c r="I20" s="10"/>
      <c r="J20" s="11" t="s">
        <v>2694</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2040</v>
      </c>
      <c r="D21" s="6" t="s">
        <v>2685</v>
      </c>
      <c r="E21" s="8"/>
      <c r="F21" s="7" t="s">
        <v>1739</v>
      </c>
      <c r="G21" s="7" t="str">
        <f t="shared" si="3"/>
        <v>text</v>
      </c>
      <c r="H21" s="26"/>
      <c r="I21" s="10"/>
      <c r="J21" s="11" t="s">
        <v>2694</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2686</v>
      </c>
      <c r="D22" s="6" t="s">
        <v>2687</v>
      </c>
      <c r="E22" s="8"/>
      <c r="F22" s="7" t="s">
        <v>1739</v>
      </c>
      <c r="G22" s="7" t="str">
        <f t="shared" si="3"/>
        <v>text</v>
      </c>
      <c r="H22" s="26"/>
      <c r="I22" s="10"/>
      <c r="J22" s="11" t="s">
        <v>2696</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2042</v>
      </c>
      <c r="D23" s="6" t="s">
        <v>2043</v>
      </c>
      <c r="E23" s="8"/>
      <c r="F23" s="7" t="s">
        <v>1746</v>
      </c>
      <c r="G23" s="7" t="str">
        <f t="shared" si="3"/>
        <v>numeric</v>
      </c>
      <c r="H23" s="26"/>
      <c r="I23" s="10"/>
      <c r="J23" s="11" t="s">
        <v>2694</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2044</v>
      </c>
      <c r="D24" s="6" t="s">
        <v>2688</v>
      </c>
      <c r="E24" s="8"/>
      <c r="F24" s="7" t="s">
        <v>1739</v>
      </c>
      <c r="G24" s="7" t="str">
        <f t="shared" si="3"/>
        <v>text</v>
      </c>
      <c r="H24" s="26"/>
      <c r="I24" s="10"/>
      <c r="J24" s="11" t="s">
        <v>2694</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milscm_2023_009.sny_202310_backup_mt2_iyakuhin_seibun_kanren.kokuji_kikaku_unit_cd IS '告示規格単位コード';</v>
      </c>
    </row>
    <row r="25" spans="1:45" s="25" customFormat="1">
      <c r="A25" s="4"/>
      <c r="B25" s="21">
        <f t="shared" si="2"/>
        <v>13</v>
      </c>
      <c r="C25" s="6" t="s">
        <v>2689</v>
      </c>
      <c r="D25" s="6" t="s">
        <v>2690</v>
      </c>
      <c r="E25" s="8"/>
      <c r="F25" s="7" t="s">
        <v>1739</v>
      </c>
      <c r="G25" s="7" t="str">
        <f t="shared" si="3"/>
        <v>text</v>
      </c>
      <c r="H25" s="26"/>
      <c r="I25" s="10"/>
      <c r="J25" s="11" t="s">
        <v>2696</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milscm_2023_009.sny_202310_backup_mt2_iyakuhin_seibun_kanren.kokuji_kikaku_unit_name IS '告示規格単位名称';</v>
      </c>
    </row>
    <row r="26" spans="1:45" s="25" customFormat="1" ht="37.5">
      <c r="A26" s="4"/>
      <c r="B26" s="21">
        <f t="shared" si="2"/>
        <v>14</v>
      </c>
      <c r="C26" s="6" t="s">
        <v>2117</v>
      </c>
      <c r="D26" s="6" t="s">
        <v>2118</v>
      </c>
      <c r="E26" s="8"/>
      <c r="F26" s="7" t="s">
        <v>1739</v>
      </c>
      <c r="G26" s="7" t="str">
        <f t="shared" si="3"/>
        <v>text</v>
      </c>
      <c r="H26" s="26"/>
      <c r="I26" s="10"/>
      <c r="J26" s="11" t="s">
        <v>2692</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2046</v>
      </c>
      <c r="D27" s="6" t="s">
        <v>2047</v>
      </c>
      <c r="E27" s="8"/>
      <c r="F27" s="7" t="s">
        <v>1739</v>
      </c>
      <c r="G27" s="7" t="str">
        <f t="shared" ref="G27:G30" si="7">IF(F27="フラグ","boolean",IF(F27="文字列","text",IF(F27="整数","integer",IF(F27="実数","numeric",""))))</f>
        <v>text</v>
      </c>
      <c r="H27" s="26"/>
      <c r="I27" s="10"/>
      <c r="J27" s="11" t="s">
        <v>2694</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milscm_2023_009.sny_202310_backup_mt2_iyakuhin_seibun_kanren.bikou IS '備考';</v>
      </c>
    </row>
    <row r="28" spans="1:45" s="25" customFormat="1" ht="37.5">
      <c r="A28" s="4"/>
      <c r="B28" s="21">
        <f t="shared" si="2"/>
        <v>16</v>
      </c>
      <c r="C28" s="6" t="s">
        <v>2401</v>
      </c>
      <c r="D28" s="6" t="s">
        <v>1883</v>
      </c>
      <c r="E28" s="8" t="s">
        <v>127</v>
      </c>
      <c r="F28" s="7" t="s">
        <v>737</v>
      </c>
      <c r="G28" s="7" t="str">
        <f t="shared" si="7"/>
        <v>text</v>
      </c>
      <c r="H28" s="26" t="s">
        <v>1922</v>
      </c>
      <c r="I28" s="10" t="s">
        <v>127</v>
      </c>
      <c r="J28" s="11" t="s">
        <v>2697</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milscm_2023_009.sny_202310_backup_mt2_iyakuhin_seibun_kanren.update_ymd IS 'データ登録日';</v>
      </c>
    </row>
    <row r="29" spans="1:45" s="25" customFormat="1" ht="56.25">
      <c r="A29" s="4"/>
      <c r="B29" s="21">
        <f t="shared" si="2"/>
        <v>17</v>
      </c>
      <c r="C29" s="6" t="s">
        <v>2509</v>
      </c>
      <c r="D29" s="6" t="s">
        <v>2510</v>
      </c>
      <c r="E29" s="8"/>
      <c r="F29" s="7" t="s">
        <v>737</v>
      </c>
      <c r="G29" s="7" t="str">
        <f t="shared" si="7"/>
        <v>text</v>
      </c>
      <c r="H29" s="26">
        <v>0</v>
      </c>
      <c r="I29" s="10" t="s">
        <v>127</v>
      </c>
      <c r="J29" s="11" t="s">
        <v>2698</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milscm_2023_009.sny_202310_backup_mt2_iyakuhin_seibun_kanren.new_f IS '最新フラグ';</v>
      </c>
    </row>
    <row r="30" spans="1:45" s="25" customFormat="1" ht="56.25">
      <c r="A30" s="4"/>
      <c r="B30" s="21">
        <f t="shared" si="2"/>
        <v>18</v>
      </c>
      <c r="C30" s="6" t="s">
        <v>2536</v>
      </c>
      <c r="D30" s="6" t="s">
        <v>1906</v>
      </c>
      <c r="E30" s="8"/>
      <c r="F30" s="7" t="s">
        <v>737</v>
      </c>
      <c r="G30" s="7" t="str">
        <f t="shared" si="7"/>
        <v>text</v>
      </c>
      <c r="H30" s="26">
        <v>0</v>
      </c>
      <c r="I30" s="10" t="s">
        <v>127</v>
      </c>
      <c r="J30" s="11" t="s">
        <v>2699</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milscm_2023_009.sny_202310_backup_mt2_iyakuhin_seibun_kanren.del_f IS '削除フラグ';</v>
      </c>
    </row>
    <row r="31" spans="1:45" s="25" customFormat="1" ht="131.25">
      <c r="A31" s="4"/>
      <c r="B31" s="21">
        <f t="shared" si="2"/>
        <v>19</v>
      </c>
      <c r="C31" s="6" t="s">
        <v>1969</v>
      </c>
      <c r="D31" s="6" t="s">
        <v>1908</v>
      </c>
      <c r="E31" s="8"/>
      <c r="F31" s="7" t="s">
        <v>737</v>
      </c>
      <c r="G31" s="7" t="str">
        <f t="shared" si="3"/>
        <v>text</v>
      </c>
      <c r="H31" s="26" t="s">
        <v>1922</v>
      </c>
      <c r="I31" s="10" t="s">
        <v>127</v>
      </c>
      <c r="J31" s="11" t="s">
        <v>2700</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milscm_2023_009.sny_202310_backup_mt2_iyakuhin_seibun_kanren.henkou_ymd IS '変更年月日';</v>
      </c>
    </row>
    <row r="32" spans="1:45" s="25" customFormat="1" ht="75.75" thickBot="1">
      <c r="A32" s="4"/>
      <c r="B32" s="27">
        <f>ROW()-12</f>
        <v>20</v>
      </c>
      <c r="C32" s="57" t="s">
        <v>1909</v>
      </c>
      <c r="D32" s="57" t="s">
        <v>1910</v>
      </c>
      <c r="E32" s="56"/>
      <c r="F32" s="56" t="s">
        <v>737</v>
      </c>
      <c r="G32" s="56" t="str">
        <f t="shared" si="3"/>
        <v>text</v>
      </c>
      <c r="H32" s="59" t="s">
        <v>1922</v>
      </c>
      <c r="I32" s="60" t="s">
        <v>127</v>
      </c>
      <c r="J32" s="64" t="s">
        <v>2701</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ENT_01_A4-14</v>
      </c>
      <c r="E6" s="240"/>
      <c r="F6" s="240"/>
      <c r="G6" s="240"/>
      <c r="H6" s="240"/>
      <c r="I6" s="240"/>
      <c r="J6" s="241"/>
    </row>
    <row r="7" spans="1:45">
      <c r="B7" s="229" t="s">
        <v>115</v>
      </c>
      <c r="C7" s="230"/>
      <c r="D7" s="231" t="s">
        <v>2702</v>
      </c>
      <c r="E7" s="232"/>
      <c r="F7" s="232"/>
      <c r="G7" s="232"/>
      <c r="H7" s="232"/>
      <c r="I7" s="232"/>
      <c r="J7" s="233"/>
    </row>
    <row r="8" spans="1:45">
      <c r="B8" s="229" t="s">
        <v>116</v>
      </c>
      <c r="C8" s="230"/>
      <c r="D8" s="231" t="str">
        <f>エンティティ一覧!AE2&amp;"_"&amp;D5&amp;"_mt2_iyakuhin_tekiyou_byomei_kanren"</f>
        <v>sny_202310_backup_mt2_iyakuhin_tekiyou_byomei_kanren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milscm_2023_009.sny_202310_backup_mt2_iyakuhin_tekiyou_byomei_kanren;</v>
      </c>
      <c r="O10" s="76"/>
      <c r="P10" s="76"/>
      <c r="Q10" s="76"/>
      <c r="R10" s="76"/>
      <c r="S10" s="76"/>
      <c r="T10" s="76"/>
      <c r="AJ10" s="76" t="str">
        <f>"ALTER TABLE ONLY "&amp;エンティティ一覧!$O$2&amp;"."&amp;D$8</f>
        <v>ALTER TABLE ONLY milscm_2023_009.sny_202310_backup_mt2_iyakuhin_tekiyou_byomei_kanren</v>
      </c>
      <c r="AS10" s="76" t="str">
        <f>"ALTER TABLE "&amp;エンティティ一覧!$O$2&amp;"."&amp;D$8&amp;" OWNER TO pgmisgrp1;"</f>
        <v>ALTER TABLE milscm_2023_009.sny_202310_backup_mt2_iyakuhin_tekiyou_byomei_kanren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milscm_2023_009.sny_202310_backup_mt2_iyakuhin_tekiyou_byomei_kanren</v>
      </c>
      <c r="O11" s="76"/>
      <c r="P11" s="76"/>
      <c r="Q11" s="76"/>
      <c r="R11" s="76"/>
      <c r="S11" s="76"/>
      <c r="T11" s="76"/>
      <c r="AJ11" s="76" t="str">
        <f>"ADD CONSTRAINT "&amp;D$8&amp;"_pkey PRIMARY KEY"</f>
        <v>ADD CONSTRAINT sny_202310_backup_mt2_iyakuhin_tekiyou_byomei_kanren_pkey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milscm_2023_009.sny_202310_backup_mt2_iyakuhin_tekiyou_byomei_kanren IS 'バックアップ_医薬品適用病名関連マスタ';</v>
      </c>
    </row>
    <row r="13" spans="1:45" s="25" customFormat="1" ht="37.5">
      <c r="A13" s="4"/>
      <c r="B13" s="21">
        <f>ROW()-12</f>
        <v>1</v>
      </c>
      <c r="C13" s="6" t="s">
        <v>2030</v>
      </c>
      <c r="D13" s="6" t="s">
        <v>2682</v>
      </c>
      <c r="E13" s="8" t="s">
        <v>127</v>
      </c>
      <c r="F13" s="8" t="s">
        <v>1739</v>
      </c>
      <c r="G13" s="7" t="str">
        <f>IF(F13="フラグ","boolean",IF(F13="文字列","text",IF(F13="整数","integer",IF(F13="実数","numeric",""))))</f>
        <v>text</v>
      </c>
      <c r="H13" s="9"/>
      <c r="I13" s="10" t="s">
        <v>127</v>
      </c>
      <c r="J13" s="11" t="s">
        <v>2706</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milscm_2023_009.sny_202310_backup_mt2_iyakuhin_tekiyou_byomei_kanren.yj_cd IS 'ＹＪコード';</v>
      </c>
    </row>
    <row r="14" spans="1:45" s="25" customFormat="1" ht="37.5">
      <c r="A14" s="4"/>
      <c r="B14" s="21">
        <f t="shared" ref="B14:B25" si="2">ROW()-12</f>
        <v>2</v>
      </c>
      <c r="C14" s="6" t="s">
        <v>1159</v>
      </c>
      <c r="D14" s="6" t="s">
        <v>2549</v>
      </c>
      <c r="E14" s="8"/>
      <c r="F14" s="7" t="s">
        <v>737</v>
      </c>
      <c r="G14" s="7" t="str">
        <f t="shared" ref="G14:G26" si="3">IF(F14="フラグ","boolean",IF(F14="文字列","text",IF(F14="整数","integer",IF(F14="実数","numeric",""))))</f>
        <v>text</v>
      </c>
      <c r="H14" s="26"/>
      <c r="I14" s="10"/>
      <c r="J14" s="11" t="s">
        <v>2707</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milscm_2023_009.sny_202310_backup_mt2_iyakuhin_tekiyou_byomei_kanren.iyakuhin_cd IS '医薬品コード';</v>
      </c>
    </row>
    <row r="15" spans="1:45" s="25" customFormat="1" ht="37.5">
      <c r="A15" s="4"/>
      <c r="B15" s="21">
        <f t="shared" si="2"/>
        <v>3</v>
      </c>
      <c r="C15" s="6" t="s">
        <v>2115</v>
      </c>
      <c r="D15" s="6" t="s">
        <v>2116</v>
      </c>
      <c r="E15" s="8"/>
      <c r="F15" s="7" t="s">
        <v>1739</v>
      </c>
      <c r="G15" s="7" t="str">
        <f t="shared" si="3"/>
        <v>text</v>
      </c>
      <c r="H15" s="26"/>
      <c r="I15" s="10"/>
      <c r="J15" s="11" t="s">
        <v>2692</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milscm_2023_009.sny_202310_backup_mt2_iyakuhin_tekiyou_byomei_kanren.iyakuhin_name IS '医薬品名';</v>
      </c>
    </row>
    <row r="16" spans="1:45" s="25" customFormat="1" ht="37.5">
      <c r="A16" s="4"/>
      <c r="B16" s="21">
        <f t="shared" si="2"/>
        <v>4</v>
      </c>
      <c r="C16" s="6" t="s">
        <v>2085</v>
      </c>
      <c r="D16" s="6" t="s">
        <v>2703</v>
      </c>
      <c r="E16" s="8" t="s">
        <v>127</v>
      </c>
      <c r="F16" s="7" t="s">
        <v>1739</v>
      </c>
      <c r="G16" s="7" t="str">
        <f t="shared" si="3"/>
        <v>text</v>
      </c>
      <c r="H16" s="26"/>
      <c r="I16" s="10" t="s">
        <v>127</v>
      </c>
      <c r="J16" s="11" t="s">
        <v>2706</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2109</v>
      </c>
      <c r="D17" s="6" t="s">
        <v>2110</v>
      </c>
      <c r="E17" s="8"/>
      <c r="F17" s="7" t="s">
        <v>1739</v>
      </c>
      <c r="G17" s="7" t="str">
        <f t="shared" si="3"/>
        <v>text</v>
      </c>
      <c r="H17" s="26"/>
      <c r="I17" s="10" t="s">
        <v>127</v>
      </c>
      <c r="J17" s="11" t="s">
        <v>2708</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milscm_2023_009.sny_202310_backup_mt2_iyakuhin_tekiyou_byomei_kanren.tekiyou_byoumei_name IS '適用病名';</v>
      </c>
    </row>
    <row r="18" spans="1:52" s="25" customFormat="1" ht="37.5">
      <c r="A18" s="4"/>
      <c r="B18" s="21">
        <f t="shared" si="2"/>
        <v>6</v>
      </c>
      <c r="C18" s="6" t="s">
        <v>2087</v>
      </c>
      <c r="D18" s="6" t="s">
        <v>2654</v>
      </c>
      <c r="E18" s="8" t="s">
        <v>127</v>
      </c>
      <c r="F18" s="7" t="s">
        <v>1739</v>
      </c>
      <c r="G18" s="7" t="str">
        <f t="shared" si="3"/>
        <v>text</v>
      </c>
      <c r="H18" s="26"/>
      <c r="I18" s="10" t="s">
        <v>127</v>
      </c>
      <c r="J18" s="11" t="s">
        <v>2709</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milscm_2023_009.sny_202310_backup_mt2_iyakuhin_tekiyou_byomei_kanren.shikkan_cd IS '疾患コード';</v>
      </c>
    </row>
    <row r="19" spans="1:52" s="25" customFormat="1" ht="37.5">
      <c r="A19" s="4"/>
      <c r="B19" s="21">
        <f t="shared" si="2"/>
        <v>7</v>
      </c>
      <c r="C19" s="6" t="s">
        <v>2089</v>
      </c>
      <c r="D19" s="6" t="s">
        <v>2090</v>
      </c>
      <c r="E19" s="8"/>
      <c r="F19" s="7" t="s">
        <v>1739</v>
      </c>
      <c r="G19" s="7" t="str">
        <f t="shared" si="3"/>
        <v>text</v>
      </c>
      <c r="H19" s="26"/>
      <c r="I19" s="10"/>
      <c r="J19" s="11" t="s">
        <v>2709</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milscm_2023_009.sny_202310_backup_mt2_iyakuhin_tekiyou_byomei_kanren.shikkan_name IS '疾患名';</v>
      </c>
    </row>
    <row r="20" spans="1:52" s="25" customFormat="1" ht="75">
      <c r="A20" s="4"/>
      <c r="B20" s="21">
        <f t="shared" si="2"/>
        <v>8</v>
      </c>
      <c r="C20" s="6" t="s">
        <v>2094</v>
      </c>
      <c r="D20" s="6" t="s">
        <v>2704</v>
      </c>
      <c r="E20" s="8"/>
      <c r="F20" s="7" t="s">
        <v>1739</v>
      </c>
      <c r="G20" s="7" t="str">
        <f t="shared" si="3"/>
        <v>text</v>
      </c>
      <c r="H20" s="26"/>
      <c r="I20" s="10"/>
      <c r="J20" s="11" t="s">
        <v>2710</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milscm_2023_009.sny_202310_backup_mt2_iyakuhin_tekiyou_byomei_kanren.kumiawase_cd IS '組み合わせコード';</v>
      </c>
    </row>
    <row r="21" spans="1:52" s="25" customFormat="1" ht="75">
      <c r="A21" s="4"/>
      <c r="B21" s="21">
        <f t="shared" si="2"/>
        <v>9</v>
      </c>
      <c r="C21" s="6" t="s">
        <v>2096</v>
      </c>
      <c r="D21" s="6" t="s">
        <v>2705</v>
      </c>
      <c r="E21" s="8"/>
      <c r="F21" s="7" t="s">
        <v>1739</v>
      </c>
      <c r="G21" s="7" t="str">
        <f t="shared" si="3"/>
        <v>text</v>
      </c>
      <c r="H21" s="26"/>
      <c r="I21" s="10"/>
      <c r="J21" s="11" t="s">
        <v>2711</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milscm_2023_009.sny_202310_backup_mt2_iyakuhin_tekiyou_byomei_kanren.kankeisei_cd IS '関係性レベルコード';</v>
      </c>
    </row>
    <row r="22" spans="1:52" s="25" customFormat="1" ht="37.5">
      <c r="A22" s="4"/>
      <c r="B22" s="21">
        <f t="shared" si="2"/>
        <v>10</v>
      </c>
      <c r="C22" s="6" t="s">
        <v>2401</v>
      </c>
      <c r="D22" s="6" t="s">
        <v>1883</v>
      </c>
      <c r="E22" s="8" t="s">
        <v>127</v>
      </c>
      <c r="F22" s="7" t="s">
        <v>737</v>
      </c>
      <c r="G22" s="7" t="str">
        <f t="shared" si="3"/>
        <v>text</v>
      </c>
      <c r="H22" s="26" t="s">
        <v>1922</v>
      </c>
      <c r="I22" s="10" t="s">
        <v>127</v>
      </c>
      <c r="J22" s="11" t="s">
        <v>2712</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milscm_2023_009.sny_202310_backup_mt2_iyakuhin_tekiyou_byomei_kanren.update_ymd IS 'データ登録日';</v>
      </c>
    </row>
    <row r="23" spans="1:52" s="25" customFormat="1" ht="56.25">
      <c r="A23" s="4"/>
      <c r="B23" s="21">
        <f t="shared" si="2"/>
        <v>11</v>
      </c>
      <c r="C23" s="6" t="s">
        <v>2509</v>
      </c>
      <c r="D23" s="6" t="s">
        <v>2510</v>
      </c>
      <c r="E23" s="8"/>
      <c r="F23" s="7" t="s">
        <v>737</v>
      </c>
      <c r="G23" s="7" t="str">
        <f t="shared" si="3"/>
        <v>text</v>
      </c>
      <c r="H23" s="26">
        <v>0</v>
      </c>
      <c r="I23" s="10" t="s">
        <v>127</v>
      </c>
      <c r="J23" s="11" t="s">
        <v>2698</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milscm_2023_009.sny_202310_backup_mt2_iyakuhin_tekiyou_byomei_kanren.new_f IS '最新フラグ';</v>
      </c>
    </row>
    <row r="24" spans="1:52" s="25" customFormat="1" ht="75">
      <c r="A24" s="4"/>
      <c r="B24" s="21">
        <f t="shared" si="2"/>
        <v>12</v>
      </c>
      <c r="C24" s="6" t="s">
        <v>2536</v>
      </c>
      <c r="D24" s="6" t="s">
        <v>1906</v>
      </c>
      <c r="E24" s="8"/>
      <c r="F24" s="7" t="s">
        <v>737</v>
      </c>
      <c r="G24" s="7" t="str">
        <f t="shared" si="3"/>
        <v>text</v>
      </c>
      <c r="H24" s="26">
        <v>0</v>
      </c>
      <c r="I24" s="10" t="s">
        <v>127</v>
      </c>
      <c r="J24" s="11" t="s">
        <v>2713</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milscm_2023_009.sny_202310_backup_mt2_iyakuhin_tekiyou_byomei_kanren.del_f IS '削除フラグ';</v>
      </c>
    </row>
    <row r="25" spans="1:52" s="25" customFormat="1" ht="150">
      <c r="A25" s="4"/>
      <c r="B25" s="21">
        <f t="shared" si="2"/>
        <v>13</v>
      </c>
      <c r="C25" s="6" t="s">
        <v>1969</v>
      </c>
      <c r="D25" s="6" t="s">
        <v>1908</v>
      </c>
      <c r="E25" s="8"/>
      <c r="F25" s="7" t="s">
        <v>737</v>
      </c>
      <c r="G25" s="7" t="str">
        <f t="shared" si="3"/>
        <v>text</v>
      </c>
      <c r="H25" s="26" t="s">
        <v>1922</v>
      </c>
      <c r="I25" s="10" t="s">
        <v>127</v>
      </c>
      <c r="J25" s="11" t="s">
        <v>2714</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milscm_2023_009.sny_202310_backup_mt2_iyakuhin_tekiyou_byomei_kanren.henkou_ymd IS '変更年月日';</v>
      </c>
    </row>
    <row r="26" spans="1:52" s="25" customFormat="1" ht="94.5" thickBot="1">
      <c r="A26" s="4"/>
      <c r="B26" s="27">
        <f>ROW()-12</f>
        <v>14</v>
      </c>
      <c r="C26" s="57" t="s">
        <v>1909</v>
      </c>
      <c r="D26" s="57" t="s">
        <v>1910</v>
      </c>
      <c r="E26" s="56"/>
      <c r="F26" s="56" t="s">
        <v>737</v>
      </c>
      <c r="G26" s="56" t="str">
        <f t="shared" si="3"/>
        <v>text</v>
      </c>
      <c r="H26" s="59" t="s">
        <v>1922</v>
      </c>
      <c r="I26" s="60" t="s">
        <v>127</v>
      </c>
      <c r="J26" s="64" t="s">
        <v>2715</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2716</v>
      </c>
      <c r="C30" s="85"/>
      <c r="D30" s="82"/>
      <c r="E30" s="82"/>
      <c r="F30" s="82"/>
      <c r="G30" s="82"/>
      <c r="H30" s="82"/>
      <c r="I30" s="82"/>
      <c r="J30" s="82"/>
      <c r="K30" s="82"/>
      <c r="L30" s="82"/>
      <c r="M30" s="86"/>
    </row>
    <row r="31" spans="1:52" s="25" customFormat="1">
      <c r="A31" s="4"/>
      <c r="C31" s="25" t="s">
        <v>2717</v>
      </c>
      <c r="M31" s="12"/>
      <c r="W31" s="4"/>
    </row>
    <row r="32" spans="1:52">
      <c r="B32" s="82" t="s">
        <v>2718</v>
      </c>
      <c r="C32" s="82"/>
      <c r="D32" s="82"/>
      <c r="E32" s="82"/>
      <c r="F32" s="82"/>
      <c r="G32" s="82"/>
      <c r="H32" s="82"/>
      <c r="I32" s="82"/>
      <c r="J32" s="82"/>
      <c r="K32" s="82"/>
      <c r="L32" s="82"/>
      <c r="M32" s="86"/>
    </row>
    <row r="33" spans="1:23">
      <c r="B33" s="82"/>
      <c r="C33" s="83" t="s">
        <v>2719</v>
      </c>
      <c r="D33" s="261" t="s">
        <v>2720</v>
      </c>
      <c r="E33" s="262"/>
      <c r="F33" s="262"/>
      <c r="G33" s="262"/>
      <c r="H33" s="263"/>
      <c r="I33" s="261" t="s">
        <v>2721</v>
      </c>
      <c r="J33" s="263"/>
    </row>
    <row r="34" spans="1:23" ht="18.75" customHeight="1">
      <c r="B34" s="82"/>
      <c r="C34" s="84" t="s">
        <v>2722</v>
      </c>
      <c r="D34" s="258" t="s">
        <v>2723</v>
      </c>
      <c r="E34" s="259"/>
      <c r="F34" s="259"/>
      <c r="G34" s="259"/>
      <c r="H34" s="260"/>
      <c r="I34" s="258" t="s">
        <v>2724</v>
      </c>
      <c r="J34" s="260"/>
    </row>
    <row r="35" spans="1:23" ht="18.75" customHeight="1">
      <c r="B35" s="82"/>
      <c r="C35" s="84" t="s">
        <v>2725</v>
      </c>
      <c r="D35" s="258" t="s">
        <v>2780</v>
      </c>
      <c r="E35" s="259"/>
      <c r="F35" s="259"/>
      <c r="G35" s="259"/>
      <c r="H35" s="260"/>
      <c r="I35" s="258" t="s">
        <v>2770</v>
      </c>
      <c r="J35" s="260"/>
    </row>
    <row r="36" spans="1:23" ht="18.75" customHeight="1">
      <c r="B36" s="82"/>
      <c r="C36" s="84" t="s">
        <v>2726</v>
      </c>
      <c r="D36" s="258" t="s">
        <v>2727</v>
      </c>
      <c r="E36" s="259"/>
      <c r="F36" s="259"/>
      <c r="G36" s="259"/>
      <c r="H36" s="260"/>
      <c r="I36" s="258" t="s">
        <v>2771</v>
      </c>
      <c r="J36" s="260"/>
    </row>
    <row r="37" spans="1:23" ht="18.75" customHeight="1">
      <c r="B37" s="82"/>
      <c r="C37" s="84" t="s">
        <v>2728</v>
      </c>
      <c r="D37" s="258" t="s">
        <v>2729</v>
      </c>
      <c r="E37" s="259"/>
      <c r="F37" s="259"/>
      <c r="G37" s="259"/>
      <c r="H37" s="260"/>
      <c r="I37" s="258" t="s">
        <v>2772</v>
      </c>
      <c r="J37" s="260"/>
    </row>
    <row r="38" spans="1:23" ht="18.75" customHeight="1">
      <c r="B38" s="82"/>
      <c r="C38" s="84" t="s">
        <v>2730</v>
      </c>
      <c r="D38" s="258" t="s">
        <v>2731</v>
      </c>
      <c r="E38" s="259"/>
      <c r="F38" s="259"/>
      <c r="G38" s="259"/>
      <c r="H38" s="260"/>
      <c r="I38" s="258" t="s">
        <v>2773</v>
      </c>
      <c r="J38" s="260"/>
    </row>
    <row r="39" spans="1:23" ht="18.75" customHeight="1">
      <c r="B39" s="82"/>
      <c r="C39" s="84" t="s">
        <v>2732</v>
      </c>
      <c r="D39" s="258" t="s">
        <v>2733</v>
      </c>
      <c r="E39" s="259"/>
      <c r="F39" s="259"/>
      <c r="G39" s="259"/>
      <c r="H39" s="260"/>
      <c r="I39" s="258" t="s">
        <v>2774</v>
      </c>
      <c r="J39" s="260"/>
    </row>
    <row r="40" spans="1:23" ht="18.75" customHeight="1">
      <c r="B40" s="82"/>
      <c r="C40" s="84" t="s">
        <v>2734</v>
      </c>
      <c r="D40" s="258" t="s">
        <v>2735</v>
      </c>
      <c r="E40" s="259"/>
      <c r="F40" s="259"/>
      <c r="G40" s="259"/>
      <c r="H40" s="260"/>
      <c r="I40" s="258" t="s">
        <v>2775</v>
      </c>
      <c r="J40" s="260"/>
    </row>
    <row r="41" spans="1:23" ht="18.75" customHeight="1">
      <c r="B41" s="82"/>
      <c r="C41" s="84" t="s">
        <v>2736</v>
      </c>
      <c r="D41" s="258" t="s">
        <v>2737</v>
      </c>
      <c r="E41" s="259"/>
      <c r="F41" s="259"/>
      <c r="G41" s="259"/>
      <c r="H41" s="260"/>
      <c r="I41" s="258" t="s">
        <v>2775</v>
      </c>
      <c r="J41" s="260"/>
    </row>
    <row r="42" spans="1:23" ht="18.75" customHeight="1">
      <c r="B42" s="82"/>
      <c r="C42" s="84" t="s">
        <v>2738</v>
      </c>
      <c r="D42" s="258" t="s">
        <v>2739</v>
      </c>
      <c r="E42" s="259"/>
      <c r="F42" s="259"/>
      <c r="G42" s="259"/>
      <c r="H42" s="260"/>
      <c r="I42" s="258" t="s">
        <v>2776</v>
      </c>
      <c r="J42" s="260"/>
    </row>
    <row r="43" spans="1:23" ht="18.75" customHeight="1">
      <c r="B43" s="82"/>
      <c r="C43" s="84" t="s">
        <v>2740</v>
      </c>
      <c r="D43" s="258" t="s">
        <v>2741</v>
      </c>
      <c r="E43" s="259"/>
      <c r="F43" s="259"/>
      <c r="G43" s="259"/>
      <c r="H43" s="260"/>
      <c r="I43" s="258" t="s">
        <v>2777</v>
      </c>
      <c r="J43" s="260"/>
    </row>
    <row r="44" spans="1:23" ht="18.75" customHeight="1">
      <c r="B44" s="82"/>
      <c r="C44" s="84" t="s">
        <v>2742</v>
      </c>
      <c r="D44" s="258" t="s">
        <v>2743</v>
      </c>
      <c r="E44" s="259"/>
      <c r="F44" s="259"/>
      <c r="G44" s="259"/>
      <c r="H44" s="260"/>
      <c r="I44" s="258" t="s">
        <v>2777</v>
      </c>
      <c r="J44" s="260"/>
    </row>
    <row r="45" spans="1:23" ht="18.75" customHeight="1">
      <c r="B45" s="82"/>
      <c r="C45" s="84" t="s">
        <v>2744</v>
      </c>
      <c r="D45" s="258" t="s">
        <v>2745</v>
      </c>
      <c r="E45" s="259"/>
      <c r="F45" s="259"/>
      <c r="G45" s="259"/>
      <c r="H45" s="260"/>
      <c r="I45" s="258" t="s">
        <v>2778</v>
      </c>
      <c r="J45" s="260"/>
    </row>
    <row r="46" spans="1:23" ht="18.75" customHeight="1">
      <c r="B46" s="82"/>
      <c r="C46" s="84" t="s">
        <v>2746</v>
      </c>
      <c r="D46" s="258" t="s">
        <v>2747</v>
      </c>
      <c r="E46" s="259"/>
      <c r="F46" s="259"/>
      <c r="G46" s="259"/>
      <c r="H46" s="260"/>
      <c r="I46" s="258" t="s">
        <v>2779</v>
      </c>
      <c r="J46" s="260"/>
    </row>
    <row r="47" spans="1:23" s="25" customFormat="1">
      <c r="A47" s="4"/>
      <c r="M47" s="12"/>
      <c r="W47" s="4"/>
    </row>
    <row r="48" spans="1:23" s="25" customFormat="1">
      <c r="A48" s="4"/>
      <c r="B48" s="82" t="s">
        <v>2748</v>
      </c>
      <c r="C48" s="82"/>
      <c r="D48" s="82"/>
      <c r="E48" s="82"/>
      <c r="F48" s="82"/>
      <c r="G48" s="82"/>
      <c r="H48" s="82"/>
      <c r="I48" s="82"/>
      <c r="J48" s="82"/>
      <c r="K48" s="82"/>
      <c r="L48" s="82"/>
      <c r="M48" s="86"/>
      <c r="W48" s="4"/>
    </row>
    <row r="49" spans="1:52" s="25" customFormat="1">
      <c r="A49" s="4"/>
      <c r="B49" s="82"/>
      <c r="C49" s="83" t="s">
        <v>2749</v>
      </c>
      <c r="D49" s="265" t="s">
        <v>2720</v>
      </c>
      <c r="E49" s="265"/>
      <c r="F49" s="265"/>
      <c r="G49" s="265"/>
      <c r="H49" s="265"/>
      <c r="N49" s="4"/>
    </row>
    <row r="50" spans="1:52" s="25" customFormat="1">
      <c r="A50" s="4"/>
      <c r="B50" s="82"/>
      <c r="C50" s="87" t="s">
        <v>2750</v>
      </c>
      <c r="D50" s="264" t="s">
        <v>2751</v>
      </c>
      <c r="E50" s="264"/>
      <c r="F50" s="264"/>
      <c r="G50" s="264"/>
      <c r="H50" s="264"/>
      <c r="N50" s="4"/>
    </row>
    <row r="51" spans="1:52" s="25" customFormat="1">
      <c r="A51" s="4"/>
      <c r="B51" s="82"/>
      <c r="C51" s="87" t="s">
        <v>2752</v>
      </c>
      <c r="D51" s="264" t="s">
        <v>2753</v>
      </c>
      <c r="E51" s="264"/>
      <c r="F51" s="264"/>
      <c r="G51" s="264"/>
      <c r="H51" s="264"/>
      <c r="N51" s="4"/>
    </row>
    <row r="52" spans="1:52" s="25" customFormat="1">
      <c r="A52" s="4"/>
      <c r="B52" s="82"/>
      <c r="C52" s="87" t="s">
        <v>2754</v>
      </c>
      <c r="D52" s="264" t="s">
        <v>2755</v>
      </c>
      <c r="E52" s="264"/>
      <c r="F52" s="264"/>
      <c r="G52" s="264"/>
      <c r="H52" s="264"/>
      <c r="J52" s="25" t="s">
        <v>2756</v>
      </c>
      <c r="N52" s="4"/>
    </row>
    <row r="53" spans="1:52" s="25" customFormat="1">
      <c r="A53" s="4"/>
      <c r="B53" s="82"/>
      <c r="C53" s="87" t="s">
        <v>2757</v>
      </c>
      <c r="D53" s="264" t="s">
        <v>2758</v>
      </c>
      <c r="E53" s="264"/>
      <c r="F53" s="264"/>
      <c r="G53" s="264"/>
      <c r="H53" s="264"/>
      <c r="J53" s="25" t="s">
        <v>2759</v>
      </c>
      <c r="N53" s="4"/>
    </row>
    <row r="54" spans="1:52" s="25" customFormat="1" ht="18.75" customHeight="1">
      <c r="A54" s="4"/>
      <c r="B54" s="82"/>
      <c r="C54" s="87" t="s">
        <v>2760</v>
      </c>
      <c r="D54" s="264" t="s">
        <v>2761</v>
      </c>
      <c r="E54" s="264"/>
      <c r="F54" s="264"/>
      <c r="G54" s="264"/>
      <c r="H54" s="264"/>
      <c r="N54" s="4"/>
    </row>
    <row r="55" spans="1:52" s="25" customFormat="1">
      <c r="A55" s="4"/>
      <c r="B55" s="82"/>
      <c r="C55" s="84" t="s">
        <v>2746</v>
      </c>
      <c r="D55" s="264" t="s">
        <v>2762</v>
      </c>
      <c r="E55" s="264"/>
      <c r="F55" s="264"/>
      <c r="G55" s="264"/>
      <c r="H55" s="264"/>
      <c r="N55" s="4"/>
    </row>
    <row r="56" spans="1:52" s="25" customFormat="1">
      <c r="A56" s="4"/>
      <c r="M56" s="12"/>
      <c r="W56" s="4"/>
    </row>
    <row r="57" spans="1:52" s="25" customFormat="1">
      <c r="A57" s="4"/>
      <c r="C57" s="25" t="s">
        <v>2763</v>
      </c>
      <c r="M57" s="12"/>
      <c r="W57" s="4"/>
    </row>
    <row r="58" spans="1:52" s="25" customFormat="1">
      <c r="A58" s="4"/>
      <c r="C58" s="83" t="s">
        <v>2749</v>
      </c>
      <c r="D58" s="265" t="s">
        <v>2720</v>
      </c>
      <c r="E58" s="265"/>
      <c r="F58" s="265"/>
      <c r="G58" s="265"/>
      <c r="H58" s="265"/>
      <c r="M58" s="12"/>
      <c r="W58" s="4"/>
    </row>
    <row r="59" spans="1:52" s="25" customFormat="1">
      <c r="A59" s="4"/>
      <c r="C59" s="87" t="s">
        <v>2764</v>
      </c>
      <c r="D59" s="264" t="s">
        <v>2765</v>
      </c>
      <c r="E59" s="264"/>
      <c r="F59" s="264"/>
      <c r="G59" s="264"/>
      <c r="H59" s="264"/>
      <c r="M59" s="12"/>
      <c r="W59" s="4"/>
    </row>
    <row r="60" spans="1:52" s="25" customFormat="1">
      <c r="A60" s="4"/>
      <c r="C60" s="87" t="s">
        <v>2766</v>
      </c>
      <c r="D60" s="264" t="s">
        <v>2767</v>
      </c>
      <c r="E60" s="264"/>
      <c r="F60" s="264"/>
      <c r="G60" s="264"/>
      <c r="H60" s="264"/>
      <c r="M60" s="12"/>
      <c r="W60" s="4"/>
    </row>
    <row r="61" spans="1:52" s="25" customFormat="1">
      <c r="A61" s="4"/>
      <c r="C61" s="87" t="s">
        <v>2768</v>
      </c>
      <c r="D61" s="264" t="s">
        <v>2769</v>
      </c>
      <c r="E61" s="264"/>
      <c r="F61" s="264"/>
      <c r="G61" s="264"/>
      <c r="H61" s="264"/>
      <c r="M61" s="12"/>
      <c r="W61" s="4"/>
    </row>
    <row r="62" spans="1:52" s="25" customFormat="1">
      <c r="A62" s="4"/>
      <c r="C62" s="84" t="s">
        <v>2746</v>
      </c>
      <c r="D62" s="264" t="s">
        <v>2762</v>
      </c>
      <c r="E62" s="264"/>
      <c r="F62" s="264"/>
      <c r="G62" s="264"/>
      <c r="H62" s="264"/>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ENT_01_A6-02</v>
      </c>
      <c r="E6" s="240"/>
      <c r="F6" s="240"/>
      <c r="G6" s="240"/>
      <c r="H6" s="240"/>
      <c r="I6" s="240"/>
      <c r="J6" s="241"/>
    </row>
    <row r="7" spans="1:45">
      <c r="B7" s="229" t="s">
        <v>115</v>
      </c>
      <c r="C7" s="230"/>
      <c r="D7" s="231" t="s">
        <v>3186</v>
      </c>
      <c r="E7" s="232"/>
      <c r="F7" s="232"/>
      <c r="G7" s="232"/>
      <c r="H7" s="232"/>
      <c r="I7" s="232"/>
      <c r="J7" s="233"/>
    </row>
    <row r="8" spans="1:45">
      <c r="B8" s="229" t="s">
        <v>116</v>
      </c>
      <c r="C8" s="230"/>
      <c r="D8" s="231" t="str">
        <f>エンティティ一覧!AE2&amp;"_"&amp;D5&amp;"_text_mml_common"</f>
        <v>sny_202310_backup_text_mml_common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MML共通テーブルから組入れ条件の第一条件で絞り込んだ結果を格納するテーブル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milscm_2023_009.sny_202310_backup_text_mml_common;</v>
      </c>
      <c r="O10" s="76"/>
      <c r="P10" s="76"/>
      <c r="Q10" s="76"/>
      <c r="R10" s="76"/>
      <c r="S10" s="76"/>
      <c r="T10" s="76"/>
      <c r="AJ10" s="76" t="str">
        <f>"ALTER TABLE ONLY "&amp;エンティティ一覧!$O$2&amp;"."&amp;D$8</f>
        <v>ALTER TABLE ONLY milscm_2023_009.sny_202310_backup_text_mml_common</v>
      </c>
      <c r="AS10" s="76" t="str">
        <f>"ALTER TABLE "&amp;エンティティ一覧!$O$2&amp;"."&amp;D$8&amp;" OWNER TO pgmisgrp1;"</f>
        <v>ALTER TABLE milscm_2023_009.sny_202310_backup_text_mml_common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milscm_2023_009.sny_202310_backup_text_mml_common</v>
      </c>
      <c r="O11" s="76"/>
      <c r="P11" s="76"/>
      <c r="Q11" s="76"/>
      <c r="R11" s="76"/>
      <c r="S11" s="76"/>
      <c r="T11" s="76"/>
      <c r="AJ11" s="76" t="str">
        <f>"ADD CONSTRAINT "&amp;D$8&amp;"_pkey PRIMARY KEY"</f>
        <v>ADD CONSTRAINT sny_202310_backup_text_mml_common_pkey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milscm_2023_009.sny_202310_backup_text_mml_common IS 'バックアップ_MML共通';</v>
      </c>
    </row>
    <row r="13" spans="1:45" s="25" customFormat="1">
      <c r="A13" s="4"/>
      <c r="B13" s="21">
        <f>ROW()-12</f>
        <v>1</v>
      </c>
      <c r="C13" s="6" t="s">
        <v>2782</v>
      </c>
      <c r="D13" s="6" t="s">
        <v>2783</v>
      </c>
      <c r="E13" s="8" t="s">
        <v>127</v>
      </c>
      <c r="F13" s="8" t="s">
        <v>3271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2785</v>
      </c>
      <c r="D14" s="6" t="s">
        <v>2786</v>
      </c>
      <c r="E14" s="8" t="s">
        <v>127</v>
      </c>
      <c r="F14" s="7" t="s">
        <v>3271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3260</v>
      </c>
      <c r="D15" s="6" t="s">
        <v>2788</v>
      </c>
      <c r="E15" s="8" t="s">
        <v>127</v>
      </c>
      <c r="F15" s="7" t="s">
        <v>3271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milscm_2023_009.sny_202310_backup_text_mml_common.body_no IS '本文No';</v>
      </c>
    </row>
    <row r="16" spans="1:45" s="25" customFormat="1">
      <c r="A16" s="4"/>
      <c r="B16" s="21">
        <f t="shared" si="2"/>
        <v>4</v>
      </c>
      <c r="C16" s="6" t="s">
        <v>3261</v>
      </c>
      <c r="D16" s="6" t="s">
        <v>2405</v>
      </c>
      <c r="E16" s="8"/>
      <c r="F16" s="7" t="s">
        <v>317</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2790</v>
      </c>
      <c r="D17" s="6" t="s">
        <v>1248</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milscm_2023_009.sny_202310_backup_text_mml_common.master_id IS '患者ID';</v>
      </c>
    </row>
    <row r="18" spans="1:52" s="25" customFormat="1">
      <c r="A18" s="4"/>
      <c r="B18" s="21">
        <f t="shared" si="2"/>
        <v>6</v>
      </c>
      <c r="C18" s="6" t="s">
        <v>3262</v>
      </c>
      <c r="D18" s="6" t="s">
        <v>1250</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milscm_2023_009.sny_202310_backup_text_mml_common.uid IS 'UID';</v>
      </c>
    </row>
    <row r="19" spans="1:52" s="25" customFormat="1">
      <c r="A19" s="4"/>
      <c r="B19" s="21">
        <f t="shared" si="2"/>
        <v>7</v>
      </c>
      <c r="C19" s="6" t="s">
        <v>3263</v>
      </c>
      <c r="D19" s="6" t="s">
        <v>3264</v>
      </c>
      <c r="E19" s="8"/>
      <c r="F19" s="7" t="s">
        <v>317</v>
      </c>
      <c r="G19" s="7" t="str">
        <f t="shared" si="3"/>
        <v>text</v>
      </c>
      <c r="H19" s="26"/>
      <c r="I19" s="10" t="s">
        <v>127</v>
      </c>
      <c r="J19" s="11" t="s">
        <v>2796</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3265</v>
      </c>
      <c r="D20" s="6" t="s">
        <v>3266</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3267</v>
      </c>
      <c r="D21" s="6" t="s">
        <v>3268</v>
      </c>
      <c r="E21" s="8"/>
      <c r="F21" s="7" t="s">
        <v>317</v>
      </c>
      <c r="G21" s="7" t="str">
        <f t="shared" si="3"/>
        <v>text</v>
      </c>
      <c r="H21" s="26"/>
      <c r="I21" s="10" t="s">
        <v>127</v>
      </c>
      <c r="J21" s="11" t="s">
        <v>3273</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3269</v>
      </c>
      <c r="D22" s="6" t="s">
        <v>2510</v>
      </c>
      <c r="E22" s="8"/>
      <c r="F22" s="7" t="s">
        <v>2420</v>
      </c>
      <c r="G22" s="7" t="str">
        <f t="shared" si="3"/>
        <v>boolean</v>
      </c>
      <c r="H22" s="26" t="b">
        <v>1</v>
      </c>
      <c r="I22" s="10" t="s">
        <v>127</v>
      </c>
      <c r="J22" s="11" t="s">
        <v>3274</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milscm_2023_009.sny_202310_backup_text_mml_common.new_f IS '最新フラグ';</v>
      </c>
    </row>
    <row r="23" spans="1:52" s="25" customFormat="1" ht="19.5" thickBot="1">
      <c r="A23" s="4"/>
      <c r="B23" s="27">
        <f>ROW()-12</f>
        <v>11</v>
      </c>
      <c r="C23" s="57" t="s">
        <v>3270</v>
      </c>
      <c r="D23" s="57" t="s">
        <v>1906</v>
      </c>
      <c r="E23" s="56"/>
      <c r="F23" s="56" t="s">
        <v>2420</v>
      </c>
      <c r="G23" s="56" t="str">
        <f t="shared" si="3"/>
        <v>boolean</v>
      </c>
      <c r="H23" s="59" t="b">
        <v>0</v>
      </c>
      <c r="I23" s="60" t="s">
        <v>127</v>
      </c>
      <c r="J23" s="64" t="s">
        <v>3275</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ENT_01_A6-03</v>
      </c>
      <c r="E6" s="240"/>
      <c r="F6" s="240"/>
      <c r="G6" s="240"/>
      <c r="H6" s="240"/>
      <c r="I6" s="240"/>
      <c r="J6" s="241"/>
    </row>
    <row r="7" spans="1:45">
      <c r="B7" s="229" t="s">
        <v>115</v>
      </c>
      <c r="C7" s="230"/>
      <c r="D7" s="231" t="s">
        <v>2781</v>
      </c>
      <c r="E7" s="232"/>
      <c r="F7" s="232"/>
      <c r="G7" s="232"/>
      <c r="H7" s="232"/>
      <c r="I7" s="232"/>
      <c r="J7" s="233"/>
    </row>
    <row r="8" spans="1:45">
      <c r="B8" s="229" t="s">
        <v>116</v>
      </c>
      <c r="C8" s="230"/>
      <c r="D8" s="231" t="str">
        <f>エンティティ一覧!AE2&amp;"_"&amp;D5&amp;"_text_mml_mmlrd_body"</f>
        <v>sny_202310_backup_text_mml_mmlrd_body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milscm_2023_009.sny_202310_backup_text_mml_mmlrd_body;</v>
      </c>
      <c r="O10" s="76"/>
      <c r="P10" s="76"/>
      <c r="Q10" s="76"/>
      <c r="R10" s="76"/>
      <c r="S10" s="76"/>
      <c r="T10" s="76"/>
      <c r="AJ10" s="76" t="str">
        <f>"ALTER TABLE ONLY "&amp;エンティティ一覧!$O$2&amp;"."&amp;D$8</f>
        <v>ALTER TABLE ONLY milscm_2023_009.sny_202310_backup_text_mml_mmlrd_body</v>
      </c>
      <c r="AS10" s="76" t="str">
        <f>"ALTER TABLE "&amp;エンティティ一覧!$O$2&amp;"."&amp;D$8&amp;" OWNER TO pgmisgrp1;"</f>
        <v>ALTER TABLE milscm_2023_009.sny_202310_backup_text_mml_mmlrd_body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milscm_2023_009.sny_202310_backup_text_mml_mmlrd_body</v>
      </c>
      <c r="O11" s="76"/>
      <c r="P11" s="76"/>
      <c r="Q11" s="76"/>
      <c r="R11" s="76"/>
      <c r="S11" s="76"/>
      <c r="T11" s="76"/>
      <c r="AJ11" s="76" t="str">
        <f>"ADD CONSTRAINT "&amp;D$8&amp;"_pkey PRIMARY KEY"</f>
        <v>ADD CONSTRAINT sny_202310_backup_text_mml_mmlrd_body_pkey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1305</v>
      </c>
      <c r="D18" s="6" t="s">
        <v>2791</v>
      </c>
      <c r="E18" s="8"/>
      <c r="F18" s="7" t="s">
        <v>1823</v>
      </c>
      <c r="G18" s="7" t="str">
        <f t="shared" si="3"/>
        <v>text</v>
      </c>
      <c r="H18" s="26"/>
      <c r="I18" s="10"/>
      <c r="J18" s="11" t="s">
        <v>2796</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1307</v>
      </c>
      <c r="D19" s="6" t="s">
        <v>2792</v>
      </c>
      <c r="E19" s="8"/>
      <c r="F19" s="7" t="s">
        <v>1823</v>
      </c>
      <c r="G19" s="7" t="str">
        <f t="shared" si="3"/>
        <v>text</v>
      </c>
      <c r="H19" s="26"/>
      <c r="I19" s="10"/>
      <c r="J19" s="11" t="s">
        <v>2796</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1309</v>
      </c>
      <c r="D20" s="6" t="s">
        <v>2793</v>
      </c>
      <c r="E20" s="8"/>
      <c r="F20" s="7" t="s">
        <v>1823</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milscm_2023_009.sny_202310_backup_text_mml_mmlrd_body.outcome IS '転帰';</v>
      </c>
    </row>
    <row r="21" spans="1:52" s="25" customFormat="1" ht="19.5" thickBot="1">
      <c r="A21" s="4"/>
      <c r="B21" s="27">
        <f>ROW()-12</f>
        <v>9</v>
      </c>
      <c r="C21" s="57" t="s">
        <v>1311</v>
      </c>
      <c r="D21" s="57" t="s">
        <v>2794</v>
      </c>
      <c r="E21" s="56"/>
      <c r="F21" s="56" t="s">
        <v>1823</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ENT_01_A6-04</v>
      </c>
      <c r="E6" s="240"/>
      <c r="F6" s="240"/>
      <c r="G6" s="240"/>
      <c r="H6" s="240"/>
      <c r="I6" s="240"/>
      <c r="J6" s="241"/>
    </row>
    <row r="7" spans="1:45">
      <c r="B7" s="229" t="s">
        <v>115</v>
      </c>
      <c r="C7" s="230"/>
      <c r="D7" s="231" t="s">
        <v>2797</v>
      </c>
      <c r="E7" s="232"/>
      <c r="F7" s="232"/>
      <c r="G7" s="232"/>
      <c r="H7" s="232"/>
      <c r="I7" s="232"/>
      <c r="J7" s="233"/>
    </row>
    <row r="8" spans="1:45">
      <c r="B8" s="229" t="s">
        <v>116</v>
      </c>
      <c r="C8" s="230"/>
      <c r="D8" s="231" t="str">
        <f>エンティティ一覧!AE2&amp;"_"&amp;D5&amp;"_text_mml_mmlrd_byomei"</f>
        <v>sny_202310_backup_text_mml_mmlrd_byomei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milscm_2023_009.sny_202310_backup_text_mml_mmlrd_byomei;</v>
      </c>
      <c r="O10" s="76"/>
      <c r="P10" s="76"/>
      <c r="Q10" s="76"/>
      <c r="R10" s="76"/>
      <c r="S10" s="76"/>
      <c r="T10" s="76"/>
      <c r="AJ10" s="76" t="str">
        <f>"ALTER TABLE ONLY "&amp;エンティティ一覧!$O$2&amp;"."&amp;D$8</f>
        <v>ALTER TABLE ONLY milscm_2023_009.sny_202310_backup_text_mml_mmlrd_byomei</v>
      </c>
      <c r="AS10" s="76" t="str">
        <f>"ALTER TABLE "&amp;エンティティ一覧!$O$2&amp;"."&amp;D$8&amp;" OWNER TO pgmisgrp1;"</f>
        <v>ALTER TABLE milscm_2023_009.sny_202310_backup_text_mml_mmlrd_byomei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milscm_2023_009.sny_202310_backup_text_mml_mmlrd_byomei</v>
      </c>
      <c r="O11" s="76"/>
      <c r="P11" s="76"/>
      <c r="Q11" s="76"/>
      <c r="R11" s="76"/>
      <c r="S11" s="76"/>
      <c r="T11" s="76"/>
      <c r="AJ11" s="76" t="str">
        <f>"ADD CONSTRAINT "&amp;D$8&amp;"_pkey PRIMARY KEY"</f>
        <v>ADD CONSTRAINT sny_202310_backup_text_mml_mmlrd_byomei_pkey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2798</v>
      </c>
      <c r="D18" s="6" t="s">
        <v>2799</v>
      </c>
      <c r="E18" s="8" t="s">
        <v>127</v>
      </c>
      <c r="F18" s="7" t="s">
        <v>2784</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2800</v>
      </c>
      <c r="D19" s="6" t="s">
        <v>2801</v>
      </c>
      <c r="E19" s="8"/>
      <c r="F19" s="7" t="s">
        <v>1823</v>
      </c>
      <c r="G19" s="7" t="str">
        <f t="shared" si="3"/>
        <v>text</v>
      </c>
      <c r="H19" s="26"/>
      <c r="I19" s="10"/>
      <c r="J19" s="11" t="s">
        <v>2806</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milscm_2023_009.sny_202310_backup_text_mml_mmlrd_byomei.tag_name IS 'タグ名';</v>
      </c>
    </row>
    <row r="20" spans="1:52" s="25" customFormat="1" ht="37.5">
      <c r="A20" s="4"/>
      <c r="B20" s="21">
        <f t="shared" si="2"/>
        <v>8</v>
      </c>
      <c r="C20" s="6" t="s">
        <v>1323</v>
      </c>
      <c r="D20" s="6" t="s">
        <v>2802</v>
      </c>
      <c r="E20" s="8"/>
      <c r="F20" s="7" t="s">
        <v>1823</v>
      </c>
      <c r="G20" s="7" t="str">
        <f t="shared" ref="G20" si="7">IF(F20="フラグ","boolean",IF(F20="文字列","text",IF(F20="整数","integer",IF(F20="実数","numeric",""))))</f>
        <v>text</v>
      </c>
      <c r="H20" s="26"/>
      <c r="I20" s="10"/>
      <c r="J20" s="11" t="s">
        <v>2807</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2803</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milscm_2023_009.sny_202310_backup_text_mml_mmlrd_byomei.code IS 'コード値';</v>
      </c>
    </row>
    <row r="22" spans="1:52" s="25" customFormat="1" ht="19.5" thickBot="1">
      <c r="A22" s="4"/>
      <c r="B22" s="27">
        <f>ROW()-12</f>
        <v>10</v>
      </c>
      <c r="C22" s="57" t="s">
        <v>2804</v>
      </c>
      <c r="D22" s="57" t="s">
        <v>2805</v>
      </c>
      <c r="E22" s="56"/>
      <c r="F22" s="56" t="s">
        <v>1823</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ENT_01_A6-05</v>
      </c>
      <c r="E6" s="240"/>
      <c r="F6" s="240"/>
      <c r="G6" s="240"/>
      <c r="H6" s="240"/>
      <c r="I6" s="240"/>
      <c r="J6" s="241"/>
    </row>
    <row r="7" spans="1:45">
      <c r="B7" s="229" t="s">
        <v>115</v>
      </c>
      <c r="C7" s="230"/>
      <c r="D7" s="231" t="s">
        <v>2808</v>
      </c>
      <c r="E7" s="232"/>
      <c r="F7" s="232"/>
      <c r="G7" s="232"/>
      <c r="H7" s="232"/>
      <c r="I7" s="232"/>
      <c r="J7" s="233"/>
    </row>
    <row r="8" spans="1:45">
      <c r="B8" s="229" t="s">
        <v>116</v>
      </c>
      <c r="C8" s="230"/>
      <c r="D8" s="231" t="str">
        <f>エンティティ一覧!AE2&amp;"_"&amp;D5&amp;"_text_mml_mmlrd_category"</f>
        <v>sny_202310_backup_text_mml_mmlrd_category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milscm_2023_009.sny_202310_backup_text_mml_mmlrd_category;</v>
      </c>
      <c r="O10" s="76"/>
      <c r="P10" s="76"/>
      <c r="Q10" s="76"/>
      <c r="R10" s="76"/>
      <c r="S10" s="76"/>
      <c r="T10" s="76"/>
      <c r="AJ10" s="76" t="str">
        <f>"ALTER TABLE ONLY "&amp;エンティティ一覧!$O$2&amp;"."&amp;D$8</f>
        <v>ALTER TABLE ONLY milscm_2023_009.sny_202310_backup_text_mml_mmlrd_category</v>
      </c>
      <c r="AS10" s="76" t="str">
        <f>"ALTER TABLE "&amp;エンティティ一覧!$O$2&amp;"."&amp;D$8&amp;" OWNER TO pgmisgrp1;"</f>
        <v>ALTER TABLE milscm_2023_009.sny_202310_backup_text_mml_mmlrd_category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milscm_2023_009.sny_202310_backup_text_mml_mmlrd_category</v>
      </c>
      <c r="O11" s="76"/>
      <c r="P11" s="76"/>
      <c r="Q11" s="76"/>
      <c r="R11" s="76"/>
      <c r="S11" s="76"/>
      <c r="T11" s="76"/>
      <c r="AJ11" s="76" t="str">
        <f>"ADD CONSTRAINT "&amp;D$8&amp;"_pkey PRIMARY KEY"</f>
        <v>ADD CONSTRAINT sny_202310_backup_text_mml_mmlrd_category_pkey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2809</v>
      </c>
      <c r="D18" s="6" t="s">
        <v>2810</v>
      </c>
      <c r="E18" s="8" t="s">
        <v>127</v>
      </c>
      <c r="F18" s="7" t="s">
        <v>2784</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1337</v>
      </c>
      <c r="D19" s="6" t="s">
        <v>2811</v>
      </c>
      <c r="E19" s="8"/>
      <c r="F19" s="7" t="s">
        <v>1823</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milscm_2023_009.sny_202310_backup_text_mml_mmlrd_category.category IS '分類名';</v>
      </c>
    </row>
    <row r="20" spans="1:52" s="25" customFormat="1" ht="19.5" thickBot="1">
      <c r="A20" s="4"/>
      <c r="B20" s="27">
        <f>ROW()-12</f>
        <v>8</v>
      </c>
      <c r="C20" s="57" t="s">
        <v>1339</v>
      </c>
      <c r="D20" s="57" t="s">
        <v>2812</v>
      </c>
      <c r="E20" s="56"/>
      <c r="F20" s="56" t="s">
        <v>1823</v>
      </c>
      <c r="G20" s="56" t="str">
        <f t="shared" si="3"/>
        <v>text</v>
      </c>
      <c r="H20" s="59"/>
      <c r="I20" s="60"/>
      <c r="J20" s="64"/>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ENT_01_A6-18</v>
      </c>
      <c r="E6" s="240"/>
      <c r="F6" s="240"/>
      <c r="G6" s="240"/>
      <c r="H6" s="240"/>
      <c r="I6" s="240"/>
      <c r="J6" s="241"/>
    </row>
    <row r="7" spans="1:45">
      <c r="B7" s="229" t="s">
        <v>115</v>
      </c>
      <c r="C7" s="230"/>
      <c r="D7" s="231" t="s">
        <v>3859</v>
      </c>
      <c r="E7" s="232"/>
      <c r="F7" s="232"/>
      <c r="G7" s="232"/>
      <c r="H7" s="232"/>
      <c r="I7" s="232"/>
      <c r="J7" s="233"/>
    </row>
    <row r="8" spans="1:45">
      <c r="B8" s="229" t="s">
        <v>116</v>
      </c>
      <c r="C8" s="230"/>
      <c r="D8" s="231" t="str">
        <f>エンティティ一覧!AE2&amp;"_"&amp;D5&amp;"_text_mml_mmllb_body"</f>
        <v>sny_202310_backup_text_mml_mmllb_body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milscm_2023_009.sny_202310_backup_text_mml_mmllb_body;</v>
      </c>
      <c r="O10" s="76"/>
      <c r="P10" s="76"/>
      <c r="Q10" s="76"/>
      <c r="R10" s="76"/>
      <c r="S10" s="76"/>
      <c r="T10" s="76"/>
      <c r="AJ10" s="76" t="str">
        <f>"ALTER TABLE ONLY "&amp;エンティティ一覧!$O$2&amp;"."&amp;D$8</f>
        <v>ALTER TABLE ONLY milscm_2023_009.sny_202310_backup_text_mml_mmllb_body</v>
      </c>
      <c r="AS10" s="76" t="str">
        <f>"ALTER TABLE "&amp;エンティティ一覧!$O$2&amp;"."&amp;D$8&amp;" OWNER TO pgmisgrp1;"</f>
        <v>ALTER TABLE milscm_2023_009.sny_202310_backup_text_mml_mmllb_body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milscm_2023_009.sny_202310_backup_text_mml_mmllb_body</v>
      </c>
      <c r="O11" s="76"/>
      <c r="P11" s="76"/>
      <c r="Q11" s="76"/>
      <c r="R11" s="76"/>
      <c r="S11" s="76"/>
      <c r="T11" s="76"/>
      <c r="AJ11" s="76" t="str">
        <f>"ADD CONSTRAINT "&amp;D$8&amp;"_pkey PRIMARY KEY"</f>
        <v>ADD CONSTRAINT sny_202310_backup_text_mml_mmllb_body_pkey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2785</v>
      </c>
      <c r="D14" s="6" t="s">
        <v>2786</v>
      </c>
      <c r="E14" s="8" t="s">
        <v>127</v>
      </c>
      <c r="F14" s="7" t="s">
        <v>3276</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milscm_2023_009.sny_202310_backup_text_mml_mmllb_body.body_no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2790</v>
      </c>
      <c r="D17" s="6" t="s">
        <v>1248</v>
      </c>
      <c r="E17" s="8"/>
      <c r="F17" s="7" t="s">
        <v>3278</v>
      </c>
      <c r="G17" s="7" t="str">
        <f t="shared" ref="G17:G44" si="7">IF(F17="フラグ","boolean",IF(F17="文字列","text",IF(F17="整数","integer",IF(F17="実数","numeric",""))))</f>
        <v>text</v>
      </c>
      <c r="H17" s="26"/>
      <c r="I17" s="10" t="s">
        <v>127</v>
      </c>
      <c r="J17" s="11"/>
      <c r="M17" s="4"/>
      <c r="N17" s="76"/>
      <c r="O17" s="76"/>
      <c r="P17" s="76" t="str">
        <f t="shared" ref="P17:P44" si="8">IF(B17&lt;&gt;1,","&amp;D17,D17)</f>
        <v>,master_id</v>
      </c>
      <c r="Q17" s="76" t="str">
        <f t="shared" ref="Q17:Q44" si="9">UPPER(G17)</f>
        <v>TEXT</v>
      </c>
      <c r="R17" s="76" t="str">
        <f t="shared" ref="R17:R44" si="10">IF(H17&lt;&gt;"","default "&amp;IF(G17="text","'"&amp;H17&amp;"'",H17),"")</f>
        <v/>
      </c>
      <c r="S17" s="76" t="str">
        <f t="shared" ref="S17:S44" si="11">IF(I17="○","NOT NULL","")</f>
        <v>NOT NULL</v>
      </c>
      <c r="T17" s="76" t="str">
        <f t="shared" ref="T17:T44" si="12">"-- "&amp;C17</f>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1548</v>
      </c>
      <c r="D18" s="6" t="s">
        <v>3869</v>
      </c>
      <c r="E18" s="8"/>
      <c r="F18" s="7" t="s">
        <v>3278</v>
      </c>
      <c r="G18" s="7" t="str">
        <f t="shared" si="7"/>
        <v>text</v>
      </c>
      <c r="H18" s="26"/>
      <c r="I18" s="10"/>
      <c r="J18" s="11"/>
      <c r="M18" s="4"/>
      <c r="N18" s="76"/>
      <c r="O18" s="76"/>
      <c r="P18" s="76" t="str">
        <f t="shared" si="8"/>
        <v>,regist_id</v>
      </c>
      <c r="Q18" s="76" t="str">
        <f t="shared" si="9"/>
        <v>TEXT</v>
      </c>
      <c r="R18" s="76" t="str">
        <f t="shared" si="10"/>
        <v/>
      </c>
      <c r="S18" s="76" t="str">
        <f t="shared" si="11"/>
        <v/>
      </c>
      <c r="T18" s="76" t="str">
        <f t="shared" si="12"/>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1550</v>
      </c>
      <c r="D19" s="6" t="s">
        <v>1551</v>
      </c>
      <c r="E19" s="8"/>
      <c r="F19" s="7" t="s">
        <v>3278</v>
      </c>
      <c r="G19" s="7" t="str">
        <f t="shared" si="7"/>
        <v>text</v>
      </c>
      <c r="H19" s="26"/>
      <c r="I19" s="10"/>
      <c r="J19" s="11" t="s">
        <v>2796</v>
      </c>
      <c r="M19" s="4"/>
      <c r="N19" s="76"/>
      <c r="O19" s="76"/>
      <c r="P19" s="76" t="str">
        <f t="shared" si="8"/>
        <v>,sample_time</v>
      </c>
      <c r="Q19" s="76" t="str">
        <f t="shared" si="9"/>
        <v>TEXT</v>
      </c>
      <c r="R19" s="76" t="str">
        <f t="shared" si="10"/>
        <v/>
      </c>
      <c r="S19" s="76" t="str">
        <f t="shared" si="11"/>
        <v/>
      </c>
      <c r="T19" s="76" t="str">
        <f t="shared" si="12"/>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1552</v>
      </c>
      <c r="D20" s="6" t="s">
        <v>3870</v>
      </c>
      <c r="E20" s="8"/>
      <c r="F20" s="7" t="s">
        <v>3278</v>
      </c>
      <c r="G20" s="7" t="str">
        <f t="shared" si="7"/>
        <v>text</v>
      </c>
      <c r="H20" s="26"/>
      <c r="I20" s="10"/>
      <c r="J20" s="11" t="s">
        <v>2796</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1554</v>
      </c>
      <c r="D21" s="6" t="s">
        <v>1555</v>
      </c>
      <c r="E21" s="8"/>
      <c r="F21" s="7" t="s">
        <v>3278</v>
      </c>
      <c r="G21" s="7" t="str">
        <f t="shared" si="7"/>
        <v>text</v>
      </c>
      <c r="H21" s="26"/>
      <c r="I21" s="10"/>
      <c r="J21" s="11" t="s">
        <v>2796</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1556</v>
      </c>
      <c r="D22" s="6" t="s">
        <v>2945</v>
      </c>
      <c r="E22" s="8"/>
      <c r="F22" s="7" t="s">
        <v>3278</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1558</v>
      </c>
      <c r="D23" s="6" t="s">
        <v>1559</v>
      </c>
      <c r="E23" s="8"/>
      <c r="F23" s="7" t="s">
        <v>3278</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2947</v>
      </c>
      <c r="D24" s="6" t="s">
        <v>3871</v>
      </c>
      <c r="E24" s="8"/>
      <c r="F24" s="7" t="s">
        <v>3278</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1560</v>
      </c>
      <c r="D25" s="6" t="s">
        <v>3872</v>
      </c>
      <c r="E25" s="8"/>
      <c r="F25" s="7" t="s">
        <v>3278</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1562</v>
      </c>
      <c r="D26" s="6" t="s">
        <v>3873</v>
      </c>
      <c r="E26" s="8"/>
      <c r="F26" s="7" t="s">
        <v>3278</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1564</v>
      </c>
      <c r="D27" s="6" t="s">
        <v>3874</v>
      </c>
      <c r="E27" s="8"/>
      <c r="F27" s="7" t="s">
        <v>3278</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2963</v>
      </c>
      <c r="D28" s="6" t="s">
        <v>3875</v>
      </c>
      <c r="E28" s="8"/>
      <c r="F28" s="7" t="s">
        <v>3278</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1568</v>
      </c>
      <c r="D29" s="6" t="s">
        <v>3876</v>
      </c>
      <c r="E29" s="8"/>
      <c r="F29" s="7" t="s">
        <v>3278</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1570</v>
      </c>
      <c r="D30" s="6" t="s">
        <v>3877</v>
      </c>
      <c r="E30" s="8"/>
      <c r="F30" s="7" t="s">
        <v>3278</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1572</v>
      </c>
      <c r="D31" s="6" t="s">
        <v>3878</v>
      </c>
      <c r="E31" s="8"/>
      <c r="F31" s="7" t="s">
        <v>3278</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1574</v>
      </c>
      <c r="D32" s="6" t="s">
        <v>1685</v>
      </c>
      <c r="E32" s="8"/>
      <c r="F32" s="7" t="s">
        <v>3278</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2969</v>
      </c>
      <c r="D33" s="6" t="s">
        <v>3879</v>
      </c>
      <c r="E33" s="8"/>
      <c r="F33" s="7" t="s">
        <v>3278</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1576</v>
      </c>
      <c r="D34" s="6" t="s">
        <v>1687</v>
      </c>
      <c r="E34" s="8"/>
      <c r="F34" s="7" t="s">
        <v>3278</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1578</v>
      </c>
      <c r="D35" s="6" t="s">
        <v>239</v>
      </c>
      <c r="E35" s="8"/>
      <c r="F35" s="7" t="s">
        <v>3278</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1580</v>
      </c>
      <c r="D36" s="6" t="s">
        <v>1689</v>
      </c>
      <c r="E36" s="8"/>
      <c r="F36" s="7" t="s">
        <v>3278</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3880</v>
      </c>
      <c r="D37" s="6" t="s">
        <v>3881</v>
      </c>
      <c r="E37" s="8"/>
      <c r="F37" s="7" t="s">
        <v>3278</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milscm_2023_009.sny_202310_backup_text_mml_mmllb_body.client IS '依頼者';</v>
      </c>
    </row>
    <row r="38" spans="1:52" s="25" customFormat="1">
      <c r="A38" s="4"/>
      <c r="B38" s="21">
        <f t="shared" si="2"/>
        <v>26</v>
      </c>
      <c r="C38" s="6" t="s">
        <v>3882</v>
      </c>
      <c r="D38" s="6" t="s">
        <v>3883</v>
      </c>
      <c r="E38" s="8"/>
      <c r="F38" s="7" t="s">
        <v>3278</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3884</v>
      </c>
      <c r="D39" s="6" t="s">
        <v>3885</v>
      </c>
      <c r="E39" s="8"/>
      <c r="F39" s="7" t="s">
        <v>3278</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3886</v>
      </c>
      <c r="D40" s="6" t="s">
        <v>3887</v>
      </c>
      <c r="E40" s="8"/>
      <c r="F40" s="7" t="s">
        <v>3278</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3888</v>
      </c>
      <c r="D41" s="6" t="s">
        <v>3889</v>
      </c>
      <c r="E41" s="8"/>
      <c r="F41" s="7" t="s">
        <v>3278</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milscm_2023_009.sny_202310_backup_text_mml_mmllb_body.laboratory_center_code IS '検査実施施設コード';</v>
      </c>
    </row>
    <row r="42" spans="1:52" s="25" customFormat="1" ht="31.5">
      <c r="A42" s="4"/>
      <c r="B42" s="21">
        <f t="shared" si="2"/>
        <v>30</v>
      </c>
      <c r="C42" s="6" t="s">
        <v>3890</v>
      </c>
      <c r="D42" s="6" t="s">
        <v>3891</v>
      </c>
      <c r="E42" s="8"/>
      <c r="F42" s="7" t="s">
        <v>3278</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3892</v>
      </c>
      <c r="D43" s="6" t="s">
        <v>3893</v>
      </c>
      <c r="E43" s="8"/>
      <c r="F43" s="7" t="s">
        <v>3278</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3894</v>
      </c>
      <c r="D44" s="6" t="s">
        <v>3895</v>
      </c>
      <c r="E44" s="8"/>
      <c r="F44" s="7" t="s">
        <v>3278</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3896</v>
      </c>
      <c r="D45" s="6" t="s">
        <v>3897</v>
      </c>
      <c r="E45" s="8"/>
      <c r="F45" s="7" t="s">
        <v>3278</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milscm_2023_009.sny_202310_backup_text_mml_mmllb_body.technician_code_id IS '検査実施者コードID';</v>
      </c>
    </row>
    <row r="46" spans="1:52" s="25" customFormat="1" ht="19.5" thickBot="1">
      <c r="A46" s="4"/>
      <c r="B46" s="27">
        <f>ROW()-12</f>
        <v>34</v>
      </c>
      <c r="C46" s="57" t="s">
        <v>1582</v>
      </c>
      <c r="D46" s="57" t="s">
        <v>3898</v>
      </c>
      <c r="E46" s="56"/>
      <c r="F46" s="56" t="s">
        <v>3278</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ENT_01_A6-19</v>
      </c>
      <c r="E6" s="240"/>
      <c r="F6" s="240"/>
      <c r="G6" s="240"/>
      <c r="H6" s="240"/>
      <c r="I6" s="240"/>
      <c r="J6" s="241"/>
    </row>
    <row r="7" spans="1:45">
      <c r="B7" s="229" t="s">
        <v>115</v>
      </c>
      <c r="C7" s="230"/>
      <c r="D7" s="231" t="s">
        <v>3860</v>
      </c>
      <c r="E7" s="232"/>
      <c r="F7" s="232"/>
      <c r="G7" s="232"/>
      <c r="H7" s="232"/>
      <c r="I7" s="232"/>
      <c r="J7" s="233"/>
    </row>
    <row r="8" spans="1:45">
      <c r="B8" s="229" t="s">
        <v>116</v>
      </c>
      <c r="C8" s="230"/>
      <c r="D8" s="231" t="str">
        <f>エンティティ一覧!AE2&amp;"_"&amp;D5&amp;"_text_mml_mmllb_memo"</f>
        <v>sny_202310_backup_text_mml_mmllb_memo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milscm_2023_009.sny_202310_backup_text_mml_mmllb_memo;</v>
      </c>
      <c r="O10" s="76"/>
      <c r="P10" s="76"/>
      <c r="Q10" s="76"/>
      <c r="R10" s="76"/>
      <c r="S10" s="76"/>
      <c r="T10" s="76"/>
      <c r="AJ10" s="76" t="str">
        <f>"ALTER TABLE ONLY "&amp;エンティティ一覧!$O$2&amp;"."&amp;D$8</f>
        <v>ALTER TABLE ONLY milscm_2023_009.sny_202310_backup_text_mml_mmllb_memo</v>
      </c>
      <c r="AS10" s="76" t="str">
        <f>"ALTER TABLE "&amp;エンティティ一覧!$O$2&amp;"."&amp;D$8&amp;" OWNER TO pgmisgrp1;"</f>
        <v>ALTER TABLE milscm_2023_009.sny_202310_backup_text_mml_mmllb_memo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milscm_2023_009.sny_202310_backup_text_mml_mmllb_memo</v>
      </c>
      <c r="O11" s="76"/>
      <c r="P11" s="76"/>
      <c r="Q11" s="76"/>
      <c r="R11" s="76"/>
      <c r="S11" s="76"/>
      <c r="T11" s="76"/>
      <c r="AJ11" s="76" t="str">
        <f>"ADD CONSTRAINT "&amp;D$8&amp;"_pkey PRIMARY KEY"</f>
        <v>ADD CONSTRAINT sny_202310_backup_text_mml_mmllb_memo_pkey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3899</v>
      </c>
      <c r="D18" s="6" t="s">
        <v>3900</v>
      </c>
      <c r="E18" s="8" t="s">
        <v>127</v>
      </c>
      <c r="F18" s="7" t="s">
        <v>3276</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milscm_2023_009.sny_202310_backup_text_mml_mmllb_memo.memo_no IS 'メモNo';</v>
      </c>
    </row>
    <row r="19" spans="1:52" s="25" customFormat="1">
      <c r="A19" s="4"/>
      <c r="B19" s="21">
        <f t="shared" si="2"/>
        <v>7</v>
      </c>
      <c r="C19" s="6" t="s">
        <v>3901</v>
      </c>
      <c r="D19" s="6" t="s">
        <v>3898</v>
      </c>
      <c r="E19" s="8"/>
      <c r="F19" s="7" t="s">
        <v>3278</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3902</v>
      </c>
      <c r="D20" s="6" t="s">
        <v>3903</v>
      </c>
      <c r="E20" s="8"/>
      <c r="F20" s="7" t="s">
        <v>3278</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3904</v>
      </c>
      <c r="D21" s="6" t="s">
        <v>3059</v>
      </c>
      <c r="E21" s="8"/>
      <c r="F21" s="7" t="s">
        <v>3278</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milscm_2023_009.sny_202310_backup_text_mml_mmllb_memo.rep_code IS '報告コメントコード';</v>
      </c>
    </row>
    <row r="22" spans="1:52" s="25" customFormat="1" ht="19.5" thickBot="1">
      <c r="A22" s="4"/>
      <c r="B22" s="27">
        <f>ROW()-12</f>
        <v>10</v>
      </c>
      <c r="C22" s="57" t="s">
        <v>3905</v>
      </c>
      <c r="D22" s="57" t="s">
        <v>3906</v>
      </c>
      <c r="E22" s="56"/>
      <c r="F22" s="56" t="s">
        <v>3278</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ENT_01_A6-20</v>
      </c>
      <c r="E6" s="240"/>
      <c r="F6" s="240"/>
      <c r="G6" s="240"/>
      <c r="H6" s="240"/>
      <c r="I6" s="240"/>
      <c r="J6" s="241"/>
    </row>
    <row r="7" spans="1:45">
      <c r="B7" s="229" t="s">
        <v>115</v>
      </c>
      <c r="C7" s="230"/>
      <c r="D7" s="231" t="s">
        <v>3861</v>
      </c>
      <c r="E7" s="232"/>
      <c r="F7" s="232"/>
      <c r="G7" s="232"/>
      <c r="H7" s="232"/>
      <c r="I7" s="232"/>
      <c r="J7" s="233"/>
    </row>
    <row r="8" spans="1:45">
      <c r="B8" s="229" t="s">
        <v>116</v>
      </c>
      <c r="C8" s="230"/>
      <c r="D8" s="231" t="str">
        <f>エンティティ一覧!AE2&amp;"_"&amp;D5&amp;"_text_mml_mmllb_labo_test"</f>
        <v>sny_202310_backup_text_mml_mmllb_labo_test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milscm_2023_009.sny_202310_backup_text_mml_mmllb_labo_test;</v>
      </c>
      <c r="O10" s="76"/>
      <c r="P10" s="76"/>
      <c r="Q10" s="76"/>
      <c r="R10" s="76"/>
      <c r="S10" s="76"/>
      <c r="T10" s="76"/>
      <c r="AJ10" s="76" t="str">
        <f>"ALTER TABLE ONLY "&amp;エンティティ一覧!$O$2&amp;"."&amp;D$8</f>
        <v>ALTER TABLE ONLY milscm_2023_009.sny_202310_backup_text_mml_mmllb_labo_test</v>
      </c>
      <c r="AS10" s="76" t="str">
        <f>"ALTER TABLE "&amp;エンティティ一覧!$O$2&amp;"."&amp;D$8&amp;" OWNER TO pgmisgrp1;"</f>
        <v>ALTER TABLE milscm_2023_009.sny_202310_backup_text_mml_mmllb_labo_test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milscm_2023_009.sny_202310_backup_text_mml_mmllb_labo_test</v>
      </c>
      <c r="O11" s="76"/>
      <c r="P11" s="76"/>
      <c r="Q11" s="76"/>
      <c r="R11" s="76"/>
      <c r="S11" s="76"/>
      <c r="T11" s="76"/>
      <c r="AJ11" s="76" t="str">
        <f>"ADD CONSTRAINT "&amp;D$8&amp;"_pkey PRIMARY KEY"</f>
        <v>ADD CONSTRAINT sny_202310_backup_text_mml_mmllb_labo_test_pkey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1608</v>
      </c>
      <c r="D19" s="6" t="s">
        <v>3987</v>
      </c>
      <c r="E19" s="8"/>
      <c r="F19" s="7" t="s">
        <v>3278</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1610</v>
      </c>
      <c r="D20" s="6" t="s">
        <v>1611</v>
      </c>
      <c r="E20" s="8"/>
      <c r="F20" s="7" t="s">
        <v>3278</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3909</v>
      </c>
      <c r="D21" s="6" t="s">
        <v>1613</v>
      </c>
      <c r="E21" s="8"/>
      <c r="F21" s="7" t="s">
        <v>3278</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milscm_2023_009.sny_202310_backup_text_mml_mmllb_labo_test.sp_code_id IS '検体材料コードID';</v>
      </c>
    </row>
    <row r="22" spans="1:52" s="25" customFormat="1" ht="19.5" thickBot="1">
      <c r="A22" s="4"/>
      <c r="B22" s="27">
        <f>ROW()-12</f>
        <v>10</v>
      </c>
      <c r="C22" s="57" t="s">
        <v>1614</v>
      </c>
      <c r="D22" s="57" t="s">
        <v>3910</v>
      </c>
      <c r="E22" s="56"/>
      <c r="F22" s="56" t="s">
        <v>3278</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ENT_01_A6-21</v>
      </c>
      <c r="E6" s="240"/>
      <c r="F6" s="240"/>
      <c r="G6" s="240"/>
      <c r="H6" s="240"/>
      <c r="I6" s="240"/>
      <c r="J6" s="241"/>
    </row>
    <row r="7" spans="1:45">
      <c r="B7" s="229" t="s">
        <v>115</v>
      </c>
      <c r="C7" s="230"/>
      <c r="D7" s="231" t="s">
        <v>3862</v>
      </c>
      <c r="E7" s="232"/>
      <c r="F7" s="232"/>
      <c r="G7" s="232"/>
      <c r="H7" s="232"/>
      <c r="I7" s="232"/>
      <c r="J7" s="233"/>
    </row>
    <row r="8" spans="1:45">
      <c r="B8" s="229" t="s">
        <v>116</v>
      </c>
      <c r="C8" s="230"/>
      <c r="D8" s="231" t="str">
        <f>エンティティ一覧!AE2&amp;"_"&amp;D5&amp;"_text_mml_mmllb_spc_memo"</f>
        <v>sny_202310_backup_text_mml_mmllb_spc_memo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milscm_2023_009.sny_202310_backup_text_mml_mmllb_spc_memo;</v>
      </c>
      <c r="O10" s="76"/>
      <c r="P10" s="76"/>
      <c r="Q10" s="76"/>
      <c r="R10" s="76"/>
      <c r="S10" s="76"/>
      <c r="T10" s="76"/>
      <c r="AJ10" s="76" t="str">
        <f>"ALTER TABLE ONLY "&amp;エンティティ一覧!$O$2&amp;"."&amp;D$8</f>
        <v>ALTER TABLE ONLY milscm_2023_009.sny_202310_backup_text_mml_mmllb_spc_memo</v>
      </c>
      <c r="AS10" s="76" t="str">
        <f>"ALTER TABLE "&amp;エンティティ一覧!$O$2&amp;"."&amp;D$8&amp;" OWNER TO pgmisgrp1;"</f>
        <v>ALTER TABLE milscm_2023_009.sny_202310_backup_text_mml_mmllb_spc_memo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milscm_2023_009.sny_202310_backup_text_mml_mmllb_spc_memo</v>
      </c>
      <c r="O11" s="76"/>
      <c r="P11" s="76"/>
      <c r="Q11" s="76"/>
      <c r="R11" s="76"/>
      <c r="S11" s="76"/>
      <c r="T11" s="76"/>
      <c r="AJ11" s="76" t="str">
        <f>"ADD CONSTRAINT "&amp;D$8&amp;"_pkey PRIMARY KEY"</f>
        <v>ADD CONSTRAINT sny_202310_backup_text_mml_mmllb_spc_memo_pkey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2785</v>
      </c>
      <c r="D14" s="6" t="s">
        <v>2786</v>
      </c>
      <c r="E14" s="8" t="s">
        <v>127</v>
      </c>
      <c r="F14" s="7" t="s">
        <v>3276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3911</v>
      </c>
      <c r="D19" s="6" t="s">
        <v>3912</v>
      </c>
      <c r="E19" s="8" t="s">
        <v>127</v>
      </c>
      <c r="F19" s="7" t="s">
        <v>3276</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3913</v>
      </c>
      <c r="D20" s="6" t="s">
        <v>3914</v>
      </c>
      <c r="E20" s="8"/>
      <c r="F20" s="7" t="s">
        <v>3278</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3915</v>
      </c>
      <c r="D21" s="6" t="s">
        <v>3916</v>
      </c>
      <c r="E21" s="8"/>
      <c r="F21" s="7" t="s">
        <v>3278</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3917</v>
      </c>
      <c r="D22" s="6" t="s">
        <v>3918</v>
      </c>
      <c r="E22" s="8"/>
      <c r="F22" s="7" t="s">
        <v>3278</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milscm_2023_009.sny_202310_backup_text_mml_mmllb_spc_memo.sm_code IS '検体コメントコード';</v>
      </c>
    </row>
    <row r="23" spans="1:52" s="25" customFormat="1" ht="19.5" thickBot="1">
      <c r="A23" s="4"/>
      <c r="B23" s="27">
        <f>ROW()-12</f>
        <v>11</v>
      </c>
      <c r="C23" s="57" t="s">
        <v>3919</v>
      </c>
      <c r="D23" s="57" t="s">
        <v>3920</v>
      </c>
      <c r="E23" s="56"/>
      <c r="F23" s="56" t="s">
        <v>3278</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ENT_01_A6-22</v>
      </c>
      <c r="E6" s="240"/>
      <c r="F6" s="240"/>
      <c r="G6" s="240"/>
      <c r="H6" s="240"/>
      <c r="I6" s="240"/>
      <c r="J6" s="241"/>
    </row>
    <row r="7" spans="1:45">
      <c r="B7" s="229" t="s">
        <v>115</v>
      </c>
      <c r="C7" s="230"/>
      <c r="D7" s="231" t="s">
        <v>3921</v>
      </c>
      <c r="E7" s="232"/>
      <c r="F7" s="232"/>
      <c r="G7" s="232"/>
      <c r="H7" s="232"/>
      <c r="I7" s="232"/>
      <c r="J7" s="233"/>
    </row>
    <row r="8" spans="1:45">
      <c r="B8" s="229" t="s">
        <v>116</v>
      </c>
      <c r="C8" s="230"/>
      <c r="D8" s="231" t="str">
        <f>エンティティ一覧!AE2&amp;"_"&amp;D5&amp;"_text_mml_mmllb_item"</f>
        <v>sny_202310_backup_text_mml_mmllb_item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milscm_2023_009.sny_202310_backup_text_mml_mmllb_item;</v>
      </c>
      <c r="O10" s="76"/>
      <c r="P10" s="76"/>
      <c r="Q10" s="76"/>
      <c r="R10" s="76"/>
      <c r="S10" s="76"/>
      <c r="T10" s="76"/>
      <c r="AJ10" s="76" t="str">
        <f>"ALTER TABLE ONLY "&amp;エンティティ一覧!$O$2&amp;"."&amp;D$8</f>
        <v>ALTER TABLE ONLY milscm_2023_009.sny_202310_backup_text_mml_mmllb_item</v>
      </c>
      <c r="AS10" s="76" t="str">
        <f>"ALTER TABLE "&amp;エンティティ一覧!$O$2&amp;"."&amp;D$8&amp;" OWNER TO pgmisgrp1;"</f>
        <v>ALTER TABLE milscm_2023_009.sny_202310_backup_text_mml_mmllb_item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milscm_2023_009.sny_202310_backup_text_mml_mmllb_item</v>
      </c>
      <c r="O11" s="76"/>
      <c r="P11" s="76"/>
      <c r="Q11" s="76"/>
      <c r="R11" s="76"/>
      <c r="S11" s="76"/>
      <c r="T11" s="76"/>
      <c r="AJ11" s="76" t="str">
        <f>"ADD CONSTRAINT "&amp;D$8&amp;"_pkey PRIMARY KEY"</f>
        <v>ADD CONSTRAINT sny_202310_backup_text_mml_mmllb_item_pkey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2785</v>
      </c>
      <c r="D14" s="6" t="s">
        <v>2786</v>
      </c>
      <c r="E14" s="8" t="s">
        <v>127</v>
      </c>
      <c r="F14" s="7" t="s">
        <v>3276</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milscm_2023_009.sny_202310_backup_text_mml_mmllb_item.item_no IS '項目No';</v>
      </c>
    </row>
    <row r="20" spans="1:45" s="25" customFormat="1">
      <c r="A20" s="4"/>
      <c r="B20" s="21">
        <f t="shared" si="2"/>
        <v>8</v>
      </c>
      <c r="C20" s="6" t="s">
        <v>3834</v>
      </c>
      <c r="D20" s="6" t="s">
        <v>1626</v>
      </c>
      <c r="E20" s="8"/>
      <c r="F20" s="7" t="s">
        <v>3278</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3835</v>
      </c>
      <c r="D21" s="6" t="s">
        <v>3836</v>
      </c>
      <c r="E21" s="8"/>
      <c r="F21" s="7" t="s">
        <v>3278</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3925</v>
      </c>
      <c r="D22" s="6" t="s">
        <v>3926</v>
      </c>
      <c r="E22" s="8"/>
      <c r="F22" s="7" t="s">
        <v>3278</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3927</v>
      </c>
      <c r="D23" s="6" t="s">
        <v>3928</v>
      </c>
      <c r="E23" s="8"/>
      <c r="F23" s="7" t="s">
        <v>3278</v>
      </c>
      <c r="G23" s="7" t="str">
        <f t="shared" si="3"/>
        <v>text</v>
      </c>
      <c r="H23" s="26"/>
      <c r="I23" s="10"/>
      <c r="J23" s="11" t="s">
        <v>1631</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3929</v>
      </c>
      <c r="D24" s="6" t="s">
        <v>3930</v>
      </c>
      <c r="E24" s="8"/>
      <c r="F24" s="7" t="s">
        <v>3278</v>
      </c>
      <c r="G24" s="7" t="str">
        <f t="shared" si="3"/>
        <v>text</v>
      </c>
      <c r="H24" s="26"/>
      <c r="I24" s="10"/>
      <c r="J24" s="11" t="s">
        <v>1633</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3931</v>
      </c>
      <c r="D25" s="6" t="s">
        <v>3932</v>
      </c>
      <c r="E25" s="8"/>
      <c r="F25" s="7" t="s">
        <v>3278</v>
      </c>
      <c r="G25" s="7" t="str">
        <f t="shared" si="3"/>
        <v>text</v>
      </c>
      <c r="H25" s="26"/>
      <c r="I25" s="10"/>
      <c r="J25" s="11" t="s">
        <v>1635</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3933</v>
      </c>
      <c r="D26" s="6" t="s">
        <v>3934</v>
      </c>
      <c r="E26" s="8"/>
      <c r="F26" s="7" t="s">
        <v>3278</v>
      </c>
      <c r="G26" s="7" t="str">
        <f t="shared" si="3"/>
        <v>text</v>
      </c>
      <c r="H26" s="26"/>
      <c r="I26" s="10"/>
      <c r="J26" s="11" t="s">
        <v>1637</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3935</v>
      </c>
      <c r="D27" s="6" t="s">
        <v>3936</v>
      </c>
      <c r="E27" s="8"/>
      <c r="F27" s="7" t="s">
        <v>3278</v>
      </c>
      <c r="G27" s="7" t="str">
        <f t="shared" si="3"/>
        <v>text</v>
      </c>
      <c r="H27" s="26"/>
      <c r="I27" s="10"/>
      <c r="J27" s="11" t="s">
        <v>1639</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3937</v>
      </c>
      <c r="D28" s="6" t="s">
        <v>1642</v>
      </c>
      <c r="E28" s="8"/>
      <c r="F28" s="7" t="s">
        <v>3278</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3938</v>
      </c>
      <c r="D29" s="6" t="s">
        <v>3939</v>
      </c>
      <c r="E29" s="8"/>
      <c r="F29" s="7" t="s">
        <v>3278</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3940</v>
      </c>
      <c r="D30" s="6" t="s">
        <v>3941</v>
      </c>
      <c r="E30" s="8"/>
      <c r="F30" s="7" t="s">
        <v>3278</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3942</v>
      </c>
      <c r="D31" s="6" t="s">
        <v>3943</v>
      </c>
      <c r="E31" s="8"/>
      <c r="F31" s="7" t="s">
        <v>3278</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milscm_2023_009.sny_202310_backup_text_mml_mmllb_item.value_normal IS '検査値（文字列）_基準値';</v>
      </c>
    </row>
    <row r="32" spans="1:45" s="25" customFormat="1" ht="75">
      <c r="A32" s="4"/>
      <c r="B32" s="21">
        <f t="shared" si="2"/>
        <v>20</v>
      </c>
      <c r="C32" s="6" t="s">
        <v>3944</v>
      </c>
      <c r="D32" s="6" t="s">
        <v>3945</v>
      </c>
      <c r="E32" s="8"/>
      <c r="F32" s="7" t="s">
        <v>3278</v>
      </c>
      <c r="G32" s="7" t="str">
        <f t="shared" si="3"/>
        <v>text</v>
      </c>
      <c r="H32" s="26"/>
      <c r="I32" s="10"/>
      <c r="J32" s="11" t="s">
        <v>3958</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3946</v>
      </c>
      <c r="D33" s="6" t="s">
        <v>1644</v>
      </c>
      <c r="E33" s="8"/>
      <c r="F33" s="7" t="s">
        <v>3278</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3947</v>
      </c>
      <c r="D34" s="6" t="s">
        <v>3948</v>
      </c>
      <c r="E34" s="8"/>
      <c r="F34" s="7" t="s">
        <v>3278</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3949</v>
      </c>
      <c r="D35" s="6" t="s">
        <v>3950</v>
      </c>
      <c r="E35" s="8"/>
      <c r="F35" s="7" t="s">
        <v>3278</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3951</v>
      </c>
      <c r="D36" s="6" t="s">
        <v>3952</v>
      </c>
      <c r="E36" s="8"/>
      <c r="F36" s="7" t="s">
        <v>3278</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milscm_2023_009.sny_202310_backup_text_mml_mmllb_item.num_value_normal IS '検査値（数値）_基準値';</v>
      </c>
    </row>
    <row r="37" spans="1:52" s="25" customFormat="1" ht="75">
      <c r="A37" s="4"/>
      <c r="B37" s="21">
        <f t="shared" si="2"/>
        <v>25</v>
      </c>
      <c r="C37" s="6" t="s">
        <v>3953</v>
      </c>
      <c r="D37" s="6" t="s">
        <v>3954</v>
      </c>
      <c r="E37" s="8"/>
      <c r="F37" s="7" t="s">
        <v>3278</v>
      </c>
      <c r="G37" s="7" t="str">
        <f t="shared" si="3"/>
        <v>text</v>
      </c>
      <c r="H37" s="26"/>
      <c r="I37" s="10"/>
      <c r="J37" s="11" t="s">
        <v>3958</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1653</v>
      </c>
      <c r="D38" s="6" t="s">
        <v>276</v>
      </c>
      <c r="E38" s="8"/>
      <c r="F38" s="7" t="s">
        <v>3278</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milscm_2023_009.sny_202310_backup_text_mml_mmllb_item.unit IS '単位';</v>
      </c>
    </row>
    <row r="39" spans="1:52" s="25" customFormat="1">
      <c r="A39" s="4"/>
      <c r="B39" s="21">
        <f t="shared" si="2"/>
        <v>27</v>
      </c>
      <c r="C39" s="6" t="s">
        <v>1654</v>
      </c>
      <c r="D39" s="6" t="s">
        <v>3955</v>
      </c>
      <c r="E39" s="8"/>
      <c r="F39" s="7" t="s">
        <v>3278</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1656</v>
      </c>
      <c r="D40" s="6" t="s">
        <v>3956</v>
      </c>
      <c r="E40" s="8"/>
      <c r="F40" s="7" t="s">
        <v>3278</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milscm_2023_009.sny_202310_backup_text_mml_mmllb_item.u_code_id IS '単位コードID';</v>
      </c>
    </row>
    <row r="41" spans="1:52" s="25" customFormat="1" ht="19.5" thickBot="1">
      <c r="A41" s="4"/>
      <c r="B41" s="27">
        <f>ROW()-12</f>
        <v>29</v>
      </c>
      <c r="C41" s="57" t="s">
        <v>1658</v>
      </c>
      <c r="D41" s="57" t="s">
        <v>3957</v>
      </c>
      <c r="E41" s="56"/>
      <c r="F41" s="56" t="s">
        <v>3278</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ENT_01_A6-23</v>
      </c>
      <c r="E6" s="240"/>
      <c r="F6" s="240"/>
      <c r="G6" s="240"/>
      <c r="H6" s="240"/>
      <c r="I6" s="240"/>
      <c r="J6" s="241"/>
    </row>
    <row r="7" spans="1:45">
      <c r="B7" s="229" t="s">
        <v>115</v>
      </c>
      <c r="C7" s="230"/>
      <c r="D7" s="231" t="s">
        <v>3922</v>
      </c>
      <c r="E7" s="232"/>
      <c r="F7" s="232"/>
      <c r="G7" s="232"/>
      <c r="H7" s="232"/>
      <c r="I7" s="232"/>
      <c r="J7" s="233"/>
    </row>
    <row r="8" spans="1:45">
      <c r="B8" s="229" t="s">
        <v>116</v>
      </c>
      <c r="C8" s="230"/>
      <c r="D8" s="231" t="str">
        <f>エンティティ一覧!AE2&amp;"_"&amp;D5&amp;"_text_mml_mmllb_item_memo"</f>
        <v>sny_202310_backup_text_mml_mmllb_item_memo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milscm_2023_009.sny_202310_backup_text_mml_mmllb_item_memo;</v>
      </c>
      <c r="O10" s="76"/>
      <c r="P10" s="76"/>
      <c r="Q10" s="76"/>
      <c r="R10" s="76"/>
      <c r="S10" s="76"/>
      <c r="T10" s="76"/>
      <c r="AJ10" s="76" t="str">
        <f>"ALTER TABLE ONLY "&amp;エンティティ一覧!$O$2&amp;"."&amp;D$8</f>
        <v>ALTER TABLE ONLY milscm_2023_009.sny_202310_backup_text_mml_mmllb_item_memo</v>
      </c>
      <c r="AS10" s="76" t="str">
        <f>"ALTER TABLE "&amp;エンティティ一覧!$O$2&amp;"."&amp;D$8&amp;" OWNER TO pgmisgrp1;"</f>
        <v>ALTER TABLE milscm_2023_009.sny_202310_backup_text_mml_mmllb_item_memo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milscm_2023_009.sny_202310_backup_text_mml_mmllb_item_memo</v>
      </c>
      <c r="O11" s="76"/>
      <c r="P11" s="76"/>
      <c r="Q11" s="76"/>
      <c r="R11" s="76"/>
      <c r="S11" s="76"/>
      <c r="T11" s="76"/>
      <c r="AJ11" s="76" t="str">
        <f>"ADD CONSTRAINT "&amp;D$8&amp;"_pkey PRIMARY KEY"</f>
        <v>ADD CONSTRAINT sny_202310_backup_text_mml_mmllb_item_memo_pkey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2785</v>
      </c>
      <c r="D14" s="6" t="s">
        <v>2786</v>
      </c>
      <c r="E14" s="8" t="s">
        <v>127</v>
      </c>
      <c r="F14" s="7" t="s">
        <v>3276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3959</v>
      </c>
      <c r="D20" s="6" t="s">
        <v>3960</v>
      </c>
      <c r="E20" s="8" t="s">
        <v>127</v>
      </c>
      <c r="F20" s="7" t="s">
        <v>3276</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3961</v>
      </c>
      <c r="D21" s="6" t="s">
        <v>3962</v>
      </c>
      <c r="E21" s="8"/>
      <c r="F21" s="7" t="s">
        <v>3278</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3963</v>
      </c>
      <c r="D22" s="6" t="s">
        <v>3964</v>
      </c>
      <c r="E22" s="8"/>
      <c r="F22" s="7" t="s">
        <v>3278</v>
      </c>
      <c r="G22" s="7" t="str">
        <f t="shared" ref="G22" si="7">IF(F22="フラグ","boolean",IF(F22="文字列","text",IF(F22="整数","integer",IF(F22="実数","numeric",""))))</f>
        <v>text</v>
      </c>
      <c r="H22" s="26"/>
      <c r="I22" s="10"/>
      <c r="J22" s="11"/>
      <c r="M22" s="4"/>
      <c r="N22" s="76"/>
      <c r="O22" s="76"/>
      <c r="P22" s="76" t="str">
        <f t="shared" ref="P22" si="8">IF(B22&lt;&gt;1,","&amp;D22,D22)</f>
        <v>,im_code_name</v>
      </c>
      <c r="Q22" s="76" t="str">
        <f t="shared" ref="Q22" si="9">UPPER(G22)</f>
        <v>TEXT</v>
      </c>
      <c r="R22" s="76" t="str">
        <f t="shared" ref="R22" si="10">IF(H22&lt;&gt;"","default "&amp;IF(G22="text","'"&amp;H22&amp;"'",H22),"")</f>
        <v/>
      </c>
      <c r="S22" s="76" t="str">
        <f t="shared" ref="S22" si="11">IF(I22="○","NOT NULL","")</f>
        <v/>
      </c>
      <c r="T22" s="76" t="str">
        <f t="shared" ref="T22" si="12">"-- "&amp;C22</f>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3965</v>
      </c>
      <c r="D23" s="6" t="s">
        <v>3966</v>
      </c>
      <c r="E23" s="8"/>
      <c r="F23" s="7" t="s">
        <v>3278</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milscm_2023_009.sny_202310_backup_text_mml_mmllb_item_memo.im_code IS '項目コメントコード';</v>
      </c>
    </row>
    <row r="24" spans="1:52" s="25" customFormat="1" ht="19.5" thickBot="1">
      <c r="A24" s="4"/>
      <c r="B24" s="27">
        <f>ROW()-12</f>
        <v>12</v>
      </c>
      <c r="C24" s="57" t="s">
        <v>3967</v>
      </c>
      <c r="D24" s="57" t="s">
        <v>3968</v>
      </c>
      <c r="E24" s="56"/>
      <c r="F24" s="56" t="s">
        <v>3278</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ENT_01_A6-24</v>
      </c>
      <c r="E6" s="240"/>
      <c r="F6" s="240"/>
      <c r="G6" s="240"/>
      <c r="H6" s="240"/>
      <c r="I6" s="240"/>
      <c r="J6" s="241"/>
    </row>
    <row r="7" spans="1:45">
      <c r="B7" s="229" t="s">
        <v>115</v>
      </c>
      <c r="C7" s="230"/>
      <c r="D7" s="231" t="s">
        <v>2813</v>
      </c>
      <c r="E7" s="232"/>
      <c r="F7" s="232"/>
      <c r="G7" s="232"/>
      <c r="H7" s="232"/>
      <c r="I7" s="232"/>
      <c r="J7" s="233"/>
    </row>
    <row r="8" spans="1:45">
      <c r="B8" s="229" t="s">
        <v>116</v>
      </c>
      <c r="C8" s="230"/>
      <c r="D8" s="231" t="str">
        <f>エンティティ一覧!AE2&amp;"_"&amp;D5&amp;"_text_mml_mmlps_body"</f>
        <v>sny_202310_backup_text_mml_mmlps_body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milscm_2023_009.sny_202310_backup_text_mml_mmlps_body;</v>
      </c>
      <c r="O10" s="76"/>
      <c r="P10" s="76"/>
      <c r="Q10" s="76"/>
      <c r="R10" s="76"/>
      <c r="S10" s="76"/>
      <c r="T10" s="76"/>
      <c r="AJ10" s="76" t="str">
        <f>"ALTER TABLE ONLY "&amp;エンティティ一覧!$O$2&amp;"."&amp;D$8</f>
        <v>ALTER TABLE ONLY milscm_2023_009.sny_202310_backup_text_mml_mmlps_body</v>
      </c>
      <c r="AS10" s="76" t="str">
        <f>"ALTER TABLE "&amp;エンティティ一覧!$O$2&amp;"."&amp;D$8&amp;" OWNER TO pgmisgrp1;"</f>
        <v>ALTER TABLE milscm_2023_009.sny_202310_backup_text_mml_mmlps_body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milscm_2023_009.sny_202310_backup_text_mml_mmlps_body</v>
      </c>
      <c r="O11" s="76"/>
      <c r="P11" s="76"/>
      <c r="Q11" s="76"/>
      <c r="R11" s="76"/>
      <c r="S11" s="76"/>
      <c r="T11" s="76"/>
      <c r="AJ11" s="76" t="str">
        <f>"ADD CONSTRAINT "&amp;D$8&amp;"_pkey PRIMARY KEY"</f>
        <v>ADD CONSTRAINT sny_202310_backup_text_mml_mmlps_body_pkey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milscm_2023_009.sny_202310_backup_text_mml_mmlps_body.master_id IS '患者ID';</v>
      </c>
    </row>
    <row r="18" spans="1:52" s="25" customFormat="1" ht="37.5">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milscm_2023_009.sny_202310_backup_text_mml_mmlps_body.issued_to IS '院外、院内処方箋の別';</v>
      </c>
    </row>
    <row r="19" spans="1:52" s="25" customFormat="1" ht="31.5">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milscm_2023_009.sny_202310_backup_text_mml_mmlps_body.narcotic_prescription_license_no IS '麻薬施用者番号';</v>
      </c>
    </row>
    <row r="20" spans="1:52" s="25" customFormat="1" ht="19.5" thickBot="1">
      <c r="A20" s="4"/>
      <c r="B20" s="27">
        <f>ROW()-12</f>
        <v>8</v>
      </c>
      <c r="C20" s="57" t="s">
        <v>2818</v>
      </c>
      <c r="D20" s="57" t="s">
        <v>2819</v>
      </c>
      <c r="E20" s="56"/>
      <c r="F20" s="56" t="s">
        <v>1823</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ENT_01_A6-25</v>
      </c>
      <c r="E6" s="240"/>
      <c r="F6" s="240"/>
      <c r="G6" s="240"/>
      <c r="H6" s="240"/>
      <c r="I6" s="240"/>
      <c r="J6" s="241"/>
    </row>
    <row r="7" spans="1:45">
      <c r="B7" s="229" t="s">
        <v>115</v>
      </c>
      <c r="C7" s="230"/>
      <c r="D7" s="231" t="s">
        <v>2821</v>
      </c>
      <c r="E7" s="232"/>
      <c r="F7" s="232"/>
      <c r="G7" s="232"/>
      <c r="H7" s="232"/>
      <c r="I7" s="232"/>
      <c r="J7" s="233"/>
    </row>
    <row r="8" spans="1:45">
      <c r="B8" s="229" t="s">
        <v>116</v>
      </c>
      <c r="C8" s="230"/>
      <c r="D8" s="231" t="str">
        <f>エンティティ一覧!AE2&amp;"_"&amp;D5&amp;"_text_mml_mmlps_medication"</f>
        <v>sny_202310_backup_text_mml_mmlps_medication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milscm_2023_009.sny_202310_backup_text_mml_mmlps_medication;</v>
      </c>
      <c r="O10" s="76"/>
      <c r="P10" s="76"/>
      <c r="Q10" s="76"/>
      <c r="R10" s="76"/>
      <c r="S10" s="76"/>
      <c r="T10" s="76"/>
      <c r="AJ10" s="76" t="str">
        <f>"ALTER TABLE ONLY "&amp;エンティティ一覧!$O$2&amp;"."&amp;D$8</f>
        <v>ALTER TABLE ONLY milscm_2023_009.sny_202310_backup_text_mml_mmlps_medication</v>
      </c>
      <c r="AS10" s="76" t="str">
        <f>"ALTER TABLE "&amp;エンティティ一覧!$O$2&amp;"."&amp;D$8&amp;" OWNER TO pgmisgrp1;"</f>
        <v>ALTER TABLE milscm_2023_009.sny_202310_backup_text_mml_mmlps_medication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milscm_2023_009.sny_202310_backup_text_mml_mmlps_medication</v>
      </c>
      <c r="O11" s="76"/>
      <c r="P11" s="76"/>
      <c r="Q11" s="76"/>
      <c r="R11" s="76"/>
      <c r="S11" s="76"/>
      <c r="T11" s="76"/>
      <c r="AJ11" s="76" t="str">
        <f>"ADD CONSTRAINT "&amp;D$8&amp;"_pkey PRIMARY KEY"</f>
        <v>ADD CONSTRAINT sny_202310_backup_text_mml_mmlps_medication_pkey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2824</v>
      </c>
      <c r="D19" s="6" t="s">
        <v>2825</v>
      </c>
      <c r="E19" s="8"/>
      <c r="F19" s="7" t="s">
        <v>1823</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2830</v>
      </c>
      <c r="D22" s="6" t="s">
        <v>2831</v>
      </c>
      <c r="E22" s="8"/>
      <c r="F22" s="7" t="s">
        <v>1823</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2832</v>
      </c>
      <c r="D23" s="6" t="s">
        <v>2791</v>
      </c>
      <c r="E23" s="8"/>
      <c r="F23" s="7" t="s">
        <v>1823</v>
      </c>
      <c r="G23" s="7" t="str">
        <f t="shared" si="7"/>
        <v>text</v>
      </c>
      <c r="H23" s="26"/>
      <c r="I23" s="10"/>
      <c r="J23" s="11" t="s">
        <v>2853</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2833</v>
      </c>
      <c r="D24" s="6" t="s">
        <v>2834</v>
      </c>
      <c r="E24" s="8"/>
      <c r="F24" s="7" t="s">
        <v>1823</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2835</v>
      </c>
      <c r="D25" s="6" t="s">
        <v>2836</v>
      </c>
      <c r="E25" s="8"/>
      <c r="F25" s="7" t="s">
        <v>1823</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2837</v>
      </c>
      <c r="D26" s="6" t="s">
        <v>2838</v>
      </c>
      <c r="E26" s="8"/>
      <c r="F26" s="7" t="s">
        <v>1823</v>
      </c>
      <c r="G26" s="7" t="str">
        <f t="shared" si="7"/>
        <v>text</v>
      </c>
      <c r="H26" s="26"/>
      <c r="I26" s="10"/>
      <c r="J26" s="11" t="s">
        <v>2854</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2839</v>
      </c>
      <c r="D27" s="6" t="s">
        <v>2840</v>
      </c>
      <c r="E27" s="8"/>
      <c r="F27" s="7" t="s">
        <v>1823</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2841</v>
      </c>
      <c r="D28" s="6" t="s">
        <v>2842</v>
      </c>
      <c r="E28" s="8"/>
      <c r="F28" s="7" t="s">
        <v>1823</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2843</v>
      </c>
      <c r="D29" s="6" t="s">
        <v>2844</v>
      </c>
      <c r="E29" s="8"/>
      <c r="F29" s="7" t="s">
        <v>1823</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2845</v>
      </c>
      <c r="D30" s="6" t="s">
        <v>2846</v>
      </c>
      <c r="E30" s="8"/>
      <c r="F30" s="7" t="s">
        <v>1823</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milscm_2023_009.sny_202310_backup_text_mml_mmlps_medication.batch_no IS '処方番号';</v>
      </c>
    </row>
    <row r="31" spans="1:45" s="25" customFormat="1" ht="37.5">
      <c r="A31" s="4"/>
      <c r="B31" s="21">
        <f t="shared" si="2"/>
        <v>19</v>
      </c>
      <c r="C31" s="6" t="s">
        <v>2847</v>
      </c>
      <c r="D31" s="6" t="s">
        <v>2848</v>
      </c>
      <c r="E31" s="8"/>
      <c r="F31" s="7" t="s">
        <v>1823</v>
      </c>
      <c r="G31" s="7" t="str">
        <f t="shared" si="7"/>
        <v>text</v>
      </c>
      <c r="H31" s="26"/>
      <c r="I31" s="10"/>
      <c r="J31" s="11" t="s">
        <v>2855</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2849</v>
      </c>
      <c r="D32" s="6" t="s">
        <v>2850</v>
      </c>
      <c r="E32" s="8"/>
      <c r="F32" s="7" t="s">
        <v>1823</v>
      </c>
      <c r="G32" s="7" t="str">
        <f t="shared" si="7"/>
        <v>text</v>
      </c>
      <c r="H32" s="26"/>
      <c r="I32" s="10"/>
      <c r="J32" s="11" t="s">
        <v>2856</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milscm_2023_009.sny_202310_backup_text_mml_mmlps_medication.long_term IS '長期処方可';</v>
      </c>
    </row>
    <row r="33" spans="1:52" s="25" customFormat="1" ht="19.5" thickBot="1">
      <c r="A33" s="4"/>
      <c r="B33" s="27">
        <f>ROW()-12</f>
        <v>21</v>
      </c>
      <c r="C33" s="57" t="s">
        <v>2851</v>
      </c>
      <c r="D33" s="57" t="s">
        <v>2852</v>
      </c>
      <c r="E33" s="56"/>
      <c r="F33" s="56" t="s">
        <v>1823</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ENT_01_A6-26</v>
      </c>
      <c r="E6" s="240"/>
      <c r="F6" s="240"/>
      <c r="G6" s="240"/>
      <c r="H6" s="240"/>
      <c r="I6" s="240"/>
      <c r="J6" s="241"/>
    </row>
    <row r="7" spans="1:45">
      <c r="B7" s="229" t="s">
        <v>115</v>
      </c>
      <c r="C7" s="230"/>
      <c r="D7" s="231" t="s">
        <v>2857</v>
      </c>
      <c r="E7" s="232"/>
      <c r="F7" s="232"/>
      <c r="G7" s="232"/>
      <c r="H7" s="232"/>
      <c r="I7" s="232"/>
      <c r="J7" s="233"/>
    </row>
    <row r="8" spans="1:45">
      <c r="B8" s="229" t="s">
        <v>116</v>
      </c>
      <c r="C8" s="230"/>
      <c r="D8" s="231" t="str">
        <f>エンティティ一覧!AE2&amp;"_"&amp;D5&amp;"_text_mml_mmlps_medicine"</f>
        <v>sny_202310_backup_text_mml_mmlps_medicine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milscm_2023_009.sny_202310_backup_text_mml_mmlps_medicine;</v>
      </c>
      <c r="O10" s="76"/>
      <c r="P10" s="76"/>
      <c r="Q10" s="76"/>
      <c r="R10" s="76"/>
      <c r="S10" s="76"/>
      <c r="T10" s="76"/>
      <c r="AJ10" s="76" t="str">
        <f>"ALTER TABLE ONLY "&amp;エンティティ一覧!$O$2&amp;"."&amp;D$8</f>
        <v>ALTER TABLE ONLY milscm_2023_009.sny_202310_backup_text_mml_mmlps_medicine</v>
      </c>
      <c r="AS10" s="76" t="str">
        <f>"ALTER TABLE "&amp;エンティティ一覧!$O$2&amp;"."&amp;D$8&amp;" OWNER TO pgmisgrp1;"</f>
        <v>ALTER TABLE milscm_2023_009.sny_202310_backup_text_mml_mmlps_medicine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milscm_2023_009.sny_202310_backup_text_mml_mmlps_medicine</v>
      </c>
      <c r="O11" s="76"/>
      <c r="P11" s="76"/>
      <c r="Q11" s="76"/>
      <c r="R11" s="76"/>
      <c r="S11" s="76"/>
      <c r="T11" s="76"/>
      <c r="AJ11" s="76" t="str">
        <f>"ADD CONSTRAINT "&amp;D$8&amp;"_pkey PRIMARY KEY"</f>
        <v>ADD CONSTRAINT sny_202310_backup_text_mml_mmlps_medicine_pkey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2858</v>
      </c>
      <c r="D19" s="6" t="s">
        <v>2859</v>
      </c>
      <c r="E19" s="8" t="s">
        <v>127</v>
      </c>
      <c r="F19" s="7" t="s">
        <v>2784</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milscm_2023_009.sny_202310_backup_text_mml_mmlps_medicine.code IS '薬剤コード';</v>
      </c>
    </row>
    <row r="21" spans="1:52" s="25" customFormat="1" ht="19.5"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ENT_01_A6-27</v>
      </c>
      <c r="E6" s="240"/>
      <c r="F6" s="240"/>
      <c r="G6" s="240"/>
      <c r="H6" s="240"/>
      <c r="I6" s="240"/>
      <c r="J6" s="241"/>
    </row>
    <row r="7" spans="1:45">
      <c r="B7" s="229" t="s">
        <v>115</v>
      </c>
      <c r="C7" s="230"/>
      <c r="D7" s="231" t="s">
        <v>2862</v>
      </c>
      <c r="E7" s="232"/>
      <c r="F7" s="232"/>
      <c r="G7" s="232"/>
      <c r="H7" s="232"/>
      <c r="I7" s="232"/>
      <c r="J7" s="233"/>
    </row>
    <row r="8" spans="1:45">
      <c r="B8" s="229" t="s">
        <v>116</v>
      </c>
      <c r="C8" s="230"/>
      <c r="D8" s="231" t="str">
        <f>エンティティ一覧!AE2&amp;"_"&amp;D5&amp;"_text_mml_mmlinj_body"</f>
        <v>sny_202310_backup_text_mml_mmlinj_body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milscm_2023_009.sny_202310_backup_text_mml_mmlinj_body;</v>
      </c>
      <c r="O10" s="76"/>
      <c r="P10" s="76"/>
      <c r="Q10" s="76"/>
      <c r="R10" s="76"/>
      <c r="S10" s="76"/>
      <c r="T10" s="76"/>
      <c r="AJ10" s="76" t="str">
        <f>"ALTER TABLE ONLY "&amp;エンティティ一覧!$O$2&amp;"."&amp;D$8</f>
        <v>ALTER TABLE ONLY milscm_2023_009.sny_202310_backup_text_mml_mmlinj_body</v>
      </c>
      <c r="AS10" s="76" t="str">
        <f>"ALTER TABLE "&amp;エンティティ一覧!$O$2&amp;"."&amp;D$8&amp;" OWNER TO pgmisgrp1;"</f>
        <v>ALTER TABLE milscm_2023_009.sny_202310_backup_text_mml_mmlinj_body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milscm_2023_009.sny_202310_backup_text_mml_mmlinj_body</v>
      </c>
      <c r="O11" s="76"/>
      <c r="P11" s="76"/>
      <c r="Q11" s="76"/>
      <c r="R11" s="76"/>
      <c r="S11" s="76"/>
      <c r="T11" s="76"/>
      <c r="AJ11" s="76" t="str">
        <f>"ADD CONSTRAINT "&amp;D$8&amp;"_pkey PRIMARY KEY"</f>
        <v>ADD CONSTRAINT sny_202310_backup_text_mml_mmlinj_body_pkey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2785</v>
      </c>
      <c r="D14" s="6" t="s">
        <v>2786</v>
      </c>
      <c r="E14" s="8" t="s">
        <v>127</v>
      </c>
      <c r="F14" s="7" t="s">
        <v>2784</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milscm_2023_009.sny_202310_backup_text_mml_mmlinj_body.master_id IS '患者ID';</v>
      </c>
    </row>
    <row r="18" spans="1:52" s="25" customFormat="1" ht="31.5">
      <c r="A18" s="4"/>
      <c r="B18" s="21">
        <f t="shared" si="2"/>
        <v>6</v>
      </c>
      <c r="C18" s="6" t="s">
        <v>2816</v>
      </c>
      <c r="D18" s="6" t="s">
        <v>2817</v>
      </c>
      <c r="E18" s="8"/>
      <c r="F18" s="7" t="s">
        <v>1823</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milscm_2023_009.sny_202310_backup_text_mml_mmlinj_body.narcotic_prescription_license_no IS '麻薬施用者番号';</v>
      </c>
    </row>
    <row r="19" spans="1:52" s="25" customFormat="1" ht="19.5" thickBot="1">
      <c r="A19" s="4"/>
      <c r="B19" s="27">
        <f>ROW()-12</f>
        <v>7</v>
      </c>
      <c r="C19" s="57" t="s">
        <v>2818</v>
      </c>
      <c r="D19" s="57" t="s">
        <v>2819</v>
      </c>
      <c r="E19" s="56"/>
      <c r="F19" s="56" t="s">
        <v>1823</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ENT_01_A6-28</v>
      </c>
      <c r="E6" s="240"/>
      <c r="F6" s="240"/>
      <c r="G6" s="240"/>
      <c r="H6" s="240"/>
      <c r="I6" s="240"/>
      <c r="J6" s="241"/>
    </row>
    <row r="7" spans="1:45">
      <c r="B7" s="229" t="s">
        <v>115</v>
      </c>
      <c r="C7" s="230"/>
      <c r="D7" s="231" t="s">
        <v>2871</v>
      </c>
      <c r="E7" s="232"/>
      <c r="F7" s="232"/>
      <c r="G7" s="232"/>
      <c r="H7" s="232"/>
      <c r="I7" s="232"/>
      <c r="J7" s="233"/>
    </row>
    <row r="8" spans="1:45">
      <c r="B8" s="229" t="s">
        <v>116</v>
      </c>
      <c r="C8" s="230"/>
      <c r="D8" s="231" t="str">
        <f>エンティティ一覧!AE2&amp;"_"&amp;D5&amp;"_text_mml_mmlinj_medication"</f>
        <v>sny_202310_backup_text_mml_mmlinj_medication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milscm_2023_009.sny_202310_backup_text_mml_mmlinj_medication;</v>
      </c>
      <c r="O10" s="76"/>
      <c r="P10" s="76"/>
      <c r="Q10" s="76"/>
      <c r="R10" s="76"/>
      <c r="S10" s="76"/>
      <c r="T10" s="76"/>
      <c r="AJ10" s="76" t="str">
        <f>"ALTER TABLE ONLY "&amp;エンティティ一覧!$O$2&amp;"."&amp;D$8</f>
        <v>ALTER TABLE ONLY milscm_2023_009.sny_202310_backup_text_mml_mmlinj_medication</v>
      </c>
      <c r="AS10" s="76" t="str">
        <f>"ALTER TABLE "&amp;エンティティ一覧!$O$2&amp;"."&amp;D$8&amp;" OWNER TO pgmisgrp1;"</f>
        <v>ALTER TABLE milscm_2023_009.sny_202310_backup_text_mml_mmlinj_medication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milscm_2023_009.sny_202310_backup_text_mml_mmlinj_medication</v>
      </c>
      <c r="O11" s="76"/>
      <c r="P11" s="76"/>
      <c r="Q11" s="76"/>
      <c r="R11" s="76"/>
      <c r="S11" s="76"/>
      <c r="T11" s="76"/>
      <c r="AJ11" s="76" t="str">
        <f>"ADD CONSTRAINT "&amp;D$8&amp;"_pkey PRIMARY KEY"</f>
        <v>ADD CONSTRAINT sny_202310_backup_text_mml_mmlinj_medication_pkey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2822</v>
      </c>
      <c r="D18" s="6" t="s">
        <v>2823</v>
      </c>
      <c r="E18" s="8" t="s">
        <v>127</v>
      </c>
      <c r="F18" s="7" t="s">
        <v>2784</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2824</v>
      </c>
      <c r="D19" s="6" t="s">
        <v>2825</v>
      </c>
      <c r="E19" s="8"/>
      <c r="F19" s="7" t="s">
        <v>1823</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2863</v>
      </c>
      <c r="D22" s="6" t="s">
        <v>2864</v>
      </c>
      <c r="E22" s="8"/>
      <c r="F22" s="7" t="s">
        <v>1823</v>
      </c>
      <c r="G22" s="7" t="str">
        <f t="shared" si="7"/>
        <v>text</v>
      </c>
      <c r="H22" s="26"/>
      <c r="I22" s="10"/>
      <c r="J22" s="11" t="s">
        <v>2796</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2865</v>
      </c>
      <c r="D23" s="6" t="s">
        <v>2866</v>
      </c>
      <c r="E23" s="8"/>
      <c r="F23" s="7" t="s">
        <v>1823</v>
      </c>
      <c r="G23" s="7" t="str">
        <f t="shared" si="7"/>
        <v>text</v>
      </c>
      <c r="H23" s="26"/>
      <c r="I23" s="10"/>
      <c r="J23" s="11" t="s">
        <v>2796</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2835</v>
      </c>
      <c r="D24" s="6" t="s">
        <v>2836</v>
      </c>
      <c r="E24" s="8"/>
      <c r="F24" s="7" t="s">
        <v>1823</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2841</v>
      </c>
      <c r="D25" s="6" t="s">
        <v>2842</v>
      </c>
      <c r="E25" s="8"/>
      <c r="F25" s="7" t="s">
        <v>1823</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2867</v>
      </c>
      <c r="D26" s="6" t="s">
        <v>2868</v>
      </c>
      <c r="E26" s="8"/>
      <c r="F26" s="7" t="s">
        <v>1823</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2869</v>
      </c>
      <c r="D27" s="6" t="s">
        <v>2870</v>
      </c>
      <c r="E27" s="8"/>
      <c r="F27" s="7" t="s">
        <v>1823</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2845</v>
      </c>
      <c r="D28" s="6" t="s">
        <v>2846</v>
      </c>
      <c r="E28" s="8"/>
      <c r="F28" s="7" t="s">
        <v>1823</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milscm_2023_009.sny_202310_backup_text_mml_mmlinj_medication.batch_no IS '処方番号';</v>
      </c>
    </row>
    <row r="29" spans="1:52" s="25" customFormat="1" ht="19.5" thickBot="1">
      <c r="A29" s="4"/>
      <c r="B29" s="27">
        <f>ROW()-12</f>
        <v>17</v>
      </c>
      <c r="C29" s="57" t="s">
        <v>2851</v>
      </c>
      <c r="D29" s="57" t="s">
        <v>2852</v>
      </c>
      <c r="E29" s="56"/>
      <c r="F29" s="56" t="s">
        <v>1823</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ENT_01_A6-29</v>
      </c>
      <c r="E6" s="240"/>
      <c r="F6" s="240"/>
      <c r="G6" s="240"/>
      <c r="H6" s="240"/>
      <c r="I6" s="240"/>
      <c r="J6" s="241"/>
    </row>
    <row r="7" spans="1:45">
      <c r="B7" s="229" t="s">
        <v>115</v>
      </c>
      <c r="C7" s="230"/>
      <c r="D7" s="231" t="s">
        <v>2872</v>
      </c>
      <c r="E7" s="232"/>
      <c r="F7" s="232"/>
      <c r="G7" s="232"/>
      <c r="H7" s="232"/>
      <c r="I7" s="232"/>
      <c r="J7" s="233"/>
    </row>
    <row r="8" spans="1:45">
      <c r="B8" s="229" t="s">
        <v>116</v>
      </c>
      <c r="C8" s="230"/>
      <c r="D8" s="231" t="str">
        <f>エンティティ一覧!AE2&amp;"_"&amp;D5&amp;"_text_mml_mmlinj_medicine"</f>
        <v>sny_202310_backup_text_mml_mmlinj_medicine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milscm_2023_009.sny_202310_backup_text_mml_mmlinj_medicine;</v>
      </c>
      <c r="O10" s="76"/>
      <c r="P10" s="76"/>
      <c r="Q10" s="76"/>
      <c r="R10" s="76"/>
      <c r="S10" s="76"/>
      <c r="T10" s="76"/>
      <c r="AJ10" s="76" t="str">
        <f>"ALTER TABLE ONLY "&amp;エンティティ一覧!$O$2&amp;"."&amp;D$8</f>
        <v>ALTER TABLE ONLY milscm_2023_009.sny_202310_backup_text_mml_mmlinj_medicine</v>
      </c>
      <c r="AS10" s="76" t="str">
        <f>"ALTER TABLE "&amp;エンティティ一覧!$O$2&amp;"."&amp;D$8&amp;" OWNER TO pgmisgrp1;"</f>
        <v>ALTER TABLE milscm_2023_009.sny_202310_backup_text_mml_mmlinj_medicine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milscm_2023_009.sny_202310_backup_text_mml_mmlinj_medicine</v>
      </c>
      <c r="O11" s="76"/>
      <c r="P11" s="76"/>
      <c r="Q11" s="76"/>
      <c r="R11" s="76"/>
      <c r="S11" s="76"/>
      <c r="T11" s="76"/>
      <c r="AJ11" s="76" t="str">
        <f>"ADD CONSTRAINT "&amp;D$8&amp;"_pkey PRIMARY KEY"</f>
        <v>ADD CONSTRAINT sny_202310_backup_text_mml_mmlinj_medicine_pkey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milscm_2023_009.sny_202310_backup_text_mml_mmlinj_medicine.code IS '薬剤コード';</v>
      </c>
    </row>
    <row r="21" spans="1:52" s="25" customFormat="1" ht="19.5"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ENT_01_A6-42</v>
      </c>
      <c r="E6" s="240"/>
      <c r="F6" s="240"/>
      <c r="G6" s="240"/>
      <c r="H6" s="240"/>
      <c r="I6" s="240"/>
      <c r="J6" s="241"/>
    </row>
    <row r="7" spans="1:45">
      <c r="B7" s="229" t="s">
        <v>115</v>
      </c>
      <c r="C7" s="230"/>
      <c r="D7" s="231" t="s">
        <v>2873</v>
      </c>
      <c r="E7" s="232"/>
      <c r="F7" s="232"/>
      <c r="G7" s="232"/>
      <c r="H7" s="232"/>
      <c r="I7" s="232"/>
      <c r="J7" s="233"/>
    </row>
    <row r="8" spans="1:45">
      <c r="B8" s="229" t="s">
        <v>116</v>
      </c>
      <c r="C8" s="230"/>
      <c r="D8" s="231" t="str">
        <f>エンティティ一覧!AE2&amp;"_"&amp;D5&amp;"_text_mml_mmlsg_surgery_item"</f>
        <v>sny_202310_backup_text_mml_mmlsg_surgery_item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milscm_2023_009.sny_202310_backup_text_mml_mmlsg_surgery_item;</v>
      </c>
      <c r="O10" s="76"/>
      <c r="P10" s="76"/>
      <c r="Q10" s="76"/>
      <c r="R10" s="76"/>
      <c r="S10" s="76"/>
      <c r="T10" s="76"/>
      <c r="AJ10" s="76" t="str">
        <f>"ALTER TABLE ONLY "&amp;エンティティ一覧!$O$2&amp;"."&amp;D$8</f>
        <v>ALTER TABLE ONLY milscm_2023_009.sny_202310_backup_text_mml_mmlsg_surgery_item</v>
      </c>
      <c r="AS10" s="76" t="str">
        <f>"ALTER TABLE "&amp;エンティティ一覧!$O$2&amp;"."&amp;D$8&amp;" OWNER TO pgmisgrp1;"</f>
        <v>ALTER TABLE milscm_2023_009.sny_202310_backup_text_mml_mmlsg_surgery_item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milscm_2023_009.sny_202310_backup_text_mml_mmlsg_surgery_item</v>
      </c>
      <c r="O11" s="76"/>
      <c r="P11" s="76"/>
      <c r="Q11" s="76"/>
      <c r="R11" s="76"/>
      <c r="S11" s="76"/>
      <c r="T11" s="76"/>
      <c r="AJ11" s="76" t="str">
        <f>"ADD CONSTRAINT "&amp;D$8&amp;"_pkey PRIMARY KEY"</f>
        <v>ADD CONSTRAINT sny_202310_backup_text_mml_mmlsg_surgery_item_pkey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2785</v>
      </c>
      <c r="D14" s="6" t="s">
        <v>2786</v>
      </c>
      <c r="E14" s="8" t="s">
        <v>127</v>
      </c>
      <c r="F14" s="7" t="s">
        <v>2784</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2876</v>
      </c>
      <c r="D19" s="6" t="s">
        <v>2877</v>
      </c>
      <c r="E19" s="8"/>
      <c r="F19" s="7" t="s">
        <v>1823</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2878</v>
      </c>
      <c r="D20" s="6" t="s">
        <v>2879</v>
      </c>
      <c r="E20" s="8"/>
      <c r="F20" s="7" t="s">
        <v>1823</v>
      </c>
      <c r="G20" s="7" t="str">
        <f t="shared" ref="G20:G23" si="7">IF(F20="フラグ","boolean",IF(F20="文字列","text",IF(F20="整数","integer",IF(F20="実数","numeric",""))))</f>
        <v>text</v>
      </c>
      <c r="H20" s="26"/>
      <c r="I20" s="10"/>
      <c r="J20" s="11" t="s">
        <v>2853</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milscm_2023_009.sny_202310_backup_text_mml_mmlsg_surgery_item.surgical_info_date IS '手術施行日';</v>
      </c>
    </row>
    <row r="21" spans="1:52" s="25" customFormat="1" ht="29.45" customHeight="1">
      <c r="A21" s="4"/>
      <c r="B21" s="21">
        <f t="shared" si="2"/>
        <v>9</v>
      </c>
      <c r="C21" s="6" t="s">
        <v>2880</v>
      </c>
      <c r="D21" s="6" t="s">
        <v>2881</v>
      </c>
      <c r="E21" s="8"/>
      <c r="F21" s="7" t="s">
        <v>1823</v>
      </c>
      <c r="G21" s="7" t="str">
        <f t="shared" si="7"/>
        <v>text</v>
      </c>
      <c r="H21" s="26"/>
      <c r="I21" s="10"/>
      <c r="J21" s="11" t="s">
        <v>2890</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2882</v>
      </c>
      <c r="D22" s="6" t="s">
        <v>2883</v>
      </c>
      <c r="E22" s="8"/>
      <c r="F22" s="7" t="s">
        <v>1823</v>
      </c>
      <c r="G22" s="7" t="str">
        <f t="shared" si="7"/>
        <v>text</v>
      </c>
      <c r="H22" s="26"/>
      <c r="I22" s="10"/>
      <c r="J22" s="11" t="s">
        <v>2891</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2884</v>
      </c>
      <c r="D23" s="6" t="s">
        <v>2885</v>
      </c>
      <c r="E23" s="8"/>
      <c r="F23" s="7" t="s">
        <v>1823</v>
      </c>
      <c r="G23" s="7" t="str">
        <f t="shared" si="7"/>
        <v>text</v>
      </c>
      <c r="H23" s="26"/>
      <c r="I23" s="10"/>
      <c r="J23" s="11" t="s">
        <v>2891</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2886</v>
      </c>
      <c r="D24" s="6" t="s">
        <v>2887</v>
      </c>
      <c r="E24" s="8"/>
      <c r="F24" s="7" t="s">
        <v>1823</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milscm_2023_009.sny_202310_backup_text_mml_mmlsg_surgery_item.operative_notes IS '手術記録の自由文章表現';</v>
      </c>
    </row>
    <row r="25" spans="1:52" s="25" customFormat="1" ht="19.5" thickBot="1">
      <c r="A25" s="4"/>
      <c r="B25" s="27">
        <f>ROW()-12</f>
        <v>13</v>
      </c>
      <c r="C25" s="57" t="s">
        <v>2888</v>
      </c>
      <c r="D25" s="57" t="s">
        <v>2889</v>
      </c>
      <c r="E25" s="56"/>
      <c r="F25" s="56" t="s">
        <v>1823</v>
      </c>
      <c r="G25" s="56" t="str">
        <f t="shared" si="3"/>
        <v>text</v>
      </c>
      <c r="H25" s="59"/>
      <c r="I25" s="60"/>
      <c r="J25" s="64"/>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ENT_01_A6-43</v>
      </c>
      <c r="E6" s="240"/>
      <c r="F6" s="240"/>
      <c r="G6" s="240"/>
      <c r="H6" s="240"/>
      <c r="I6" s="240"/>
      <c r="J6" s="241"/>
    </row>
    <row r="7" spans="1:45">
      <c r="B7" s="229" t="s">
        <v>115</v>
      </c>
      <c r="C7" s="230"/>
      <c r="D7" s="231" t="s">
        <v>2892</v>
      </c>
      <c r="E7" s="232"/>
      <c r="F7" s="232"/>
      <c r="G7" s="232"/>
      <c r="H7" s="232"/>
      <c r="I7" s="232"/>
      <c r="J7" s="233"/>
    </row>
    <row r="8" spans="1:45">
      <c r="B8" s="229" t="s">
        <v>116</v>
      </c>
      <c r="C8" s="230"/>
      <c r="D8" s="231" t="str">
        <f>エンティティ一覧!AE2&amp;"_"&amp;D5&amp;"_text_mml_mmlsg_dp"</f>
        <v>sny_202310_backup_text_mml_mmlsg_dp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milscm_2023_009.sny_202310_backup_text_mml_mmlsg_dp;</v>
      </c>
      <c r="O10" s="76"/>
      <c r="P10" s="76"/>
      <c r="Q10" s="76"/>
      <c r="R10" s="76"/>
      <c r="S10" s="76"/>
      <c r="T10" s="76"/>
      <c r="AJ10" s="76" t="str">
        <f>"ALTER TABLE ONLY "&amp;エンティティ一覧!$O$2&amp;"."&amp;D$8</f>
        <v>ALTER TABLE ONLY milscm_2023_009.sny_202310_backup_text_mml_mmlsg_dp</v>
      </c>
      <c r="AS10" s="76" t="str">
        <f>"ALTER TABLE "&amp;エンティティ一覧!$O$2&amp;"."&amp;D$8&amp;" OWNER TO pgmisgrp1;"</f>
        <v>ALTER TABLE milscm_2023_009.sny_202310_backup_text_mml_mmlsg_dp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milscm_2023_009.sny_202310_backup_text_mml_mmlsg_dp</v>
      </c>
      <c r="O11" s="76"/>
      <c r="P11" s="76"/>
      <c r="Q11" s="76"/>
      <c r="R11" s="76"/>
      <c r="S11" s="76"/>
      <c r="T11" s="76"/>
      <c r="AJ11" s="76" t="str">
        <f>"ADD CONSTRAINT "&amp;D$8&amp;"_pkey PRIMARY KEY"</f>
        <v>ADD CONSTRAINT sny_202310_backup_text_mml_mmlsg_dp_pkey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milscm_2023_009.sny_202310_backup_text_mml_mmlsg_dp.body_no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milscm_2023_009.sny_202310_backup_text_mml_mmlsg_dp.master_id IS '患者ID';</v>
      </c>
    </row>
    <row r="18" spans="1:52" s="25" customFormat="1">
      <c r="A18" s="4"/>
      <c r="B18" s="21">
        <f t="shared" si="2"/>
        <v>6</v>
      </c>
      <c r="C18" s="6" t="s">
        <v>2893</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milscm_2023_009.sny_202310_backup_text_mml_mmlsg_dp.surgery_item_no IS '手術項目No';</v>
      </c>
    </row>
    <row r="19" spans="1:52" s="25" customFormat="1" ht="56.25">
      <c r="A19" s="4"/>
      <c r="B19" s="21">
        <f t="shared" si="2"/>
        <v>7</v>
      </c>
      <c r="C19" s="6" t="s">
        <v>2894</v>
      </c>
      <c r="D19" s="6" t="s">
        <v>2801</v>
      </c>
      <c r="E19" s="8" t="s">
        <v>127</v>
      </c>
      <c r="F19" s="7" t="s">
        <v>1823</v>
      </c>
      <c r="G19" s="7" t="str">
        <f t="shared" ref="G19:G22" si="7">IF(F19="フラグ","boolean",IF(F19="文字列","text",IF(F19="整数","integer",IF(F19="実数","numeric",""))))</f>
        <v>text</v>
      </c>
      <c r="H19" s="26"/>
      <c r="I19" s="10" t="s">
        <v>127</v>
      </c>
      <c r="J19" s="11" t="s">
        <v>2914</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milscm_2023_009.sny_202310_backup_text_mml_mmlsg_dp.tag_name IS 'タグ名';</v>
      </c>
    </row>
    <row r="20" spans="1:52" s="25" customFormat="1">
      <c r="A20" s="4"/>
      <c r="B20" s="21">
        <f t="shared" si="2"/>
        <v>8</v>
      </c>
      <c r="C20" s="6" t="s">
        <v>2895</v>
      </c>
      <c r="D20" s="6" t="s">
        <v>2896</v>
      </c>
      <c r="E20" s="8" t="s">
        <v>127</v>
      </c>
      <c r="F20" s="7" t="s">
        <v>2784</v>
      </c>
      <c r="G20" s="7" t="str">
        <f t="shared" si="7"/>
        <v>integer</v>
      </c>
      <c r="H20" s="26"/>
      <c r="I20" s="10" t="s">
        <v>127</v>
      </c>
      <c r="J20" s="11" t="s">
        <v>2915</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2897</v>
      </c>
      <c r="D21" s="6" t="s">
        <v>2898</v>
      </c>
      <c r="E21" s="8" t="s">
        <v>127</v>
      </c>
      <c r="F21" s="7" t="s">
        <v>2784</v>
      </c>
      <c r="G21" s="7" t="str">
        <f t="shared" si="7"/>
        <v>integer</v>
      </c>
      <c r="H21" s="26"/>
      <c r="I21" s="10" t="s">
        <v>127</v>
      </c>
      <c r="J21" s="11" t="s">
        <v>2916</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2899</v>
      </c>
      <c r="D22" s="6" t="s">
        <v>2900</v>
      </c>
      <c r="E22" s="8"/>
      <c r="F22" s="7" t="s">
        <v>1823</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milscm_2023_009.sny_202310_backup_text_mml_mmlsg_dp.id IS '診療科ID';</v>
      </c>
    </row>
    <row r="23" spans="1:52" s="25" customFormat="1">
      <c r="A23" s="4"/>
      <c r="B23" s="21">
        <f t="shared" si="2"/>
        <v>11</v>
      </c>
      <c r="C23" s="6" t="s">
        <v>2901</v>
      </c>
      <c r="D23" s="6" t="s">
        <v>2902</v>
      </c>
      <c r="E23" s="8"/>
      <c r="F23" s="7" t="s">
        <v>1823</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2903</v>
      </c>
      <c r="D24" s="6" t="s">
        <v>2812</v>
      </c>
      <c r="E24" s="8"/>
      <c r="F24" s="7" t="s">
        <v>1823</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milscm_2023_009.sny_202310_backup_text_mml_mmlsg_dp.table_id IS '診療科ID_テーブル名';</v>
      </c>
    </row>
    <row r="25" spans="1:52" s="25" customFormat="1" ht="29.45" customHeight="1">
      <c r="A25" s="4"/>
      <c r="B25" s="21">
        <f t="shared" si="2"/>
        <v>13</v>
      </c>
      <c r="C25" s="6" t="s">
        <v>2904</v>
      </c>
      <c r="D25" s="6" t="s">
        <v>2905</v>
      </c>
      <c r="E25" s="8"/>
      <c r="F25" s="7" t="s">
        <v>2784</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2906</v>
      </c>
      <c r="D26" s="6" t="s">
        <v>2907</v>
      </c>
      <c r="E26" s="8"/>
      <c r="F26" s="7" t="s">
        <v>1823</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2908</v>
      </c>
      <c r="D27" s="6" t="s">
        <v>2909</v>
      </c>
      <c r="E27" s="8"/>
      <c r="F27" s="7" t="s">
        <v>1823</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2910</v>
      </c>
      <c r="D28" s="6" t="s">
        <v>2911</v>
      </c>
      <c r="E28" s="8"/>
      <c r="F28" s="7" t="s">
        <v>1823</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milscm_2023_009.sny_202310_backup_text_mml_mmlsg_dp.dp_name_rep_code IS '診療科名称_表記法';</v>
      </c>
    </row>
    <row r="29" spans="1:52" s="25" customFormat="1" ht="19.5" thickBot="1">
      <c r="A29" s="4"/>
      <c r="B29" s="27">
        <f>ROW()-12</f>
        <v>17</v>
      </c>
      <c r="C29" s="57" t="s">
        <v>2912</v>
      </c>
      <c r="D29" s="57" t="s">
        <v>2913</v>
      </c>
      <c r="E29" s="56"/>
      <c r="F29" s="56" t="s">
        <v>1823</v>
      </c>
      <c r="G29" s="56" t="str">
        <f t="shared" si="3"/>
        <v>text</v>
      </c>
      <c r="H29" s="59"/>
      <c r="I29" s="60"/>
      <c r="J29" s="64"/>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ENT_01_A6-44</v>
      </c>
      <c r="E6" s="240"/>
      <c r="F6" s="240"/>
      <c r="G6" s="240"/>
      <c r="H6" s="240"/>
      <c r="I6" s="240"/>
      <c r="J6" s="241"/>
    </row>
    <row r="7" spans="1:45">
      <c r="B7" s="229" t="s">
        <v>115</v>
      </c>
      <c r="C7" s="230"/>
      <c r="D7" s="231" t="s">
        <v>2917</v>
      </c>
      <c r="E7" s="232"/>
      <c r="F7" s="232"/>
      <c r="G7" s="232"/>
      <c r="H7" s="232"/>
      <c r="I7" s="232"/>
      <c r="J7" s="233"/>
    </row>
    <row r="8" spans="1:45">
      <c r="B8" s="229" t="s">
        <v>116</v>
      </c>
      <c r="C8" s="230"/>
      <c r="D8" s="231" t="str">
        <f>エンティティ一覧!AE2&amp;"_"&amp;D5&amp;"_text_mml_mmlsg_rd"</f>
        <v>sny_202310_backup_text_mml_mmlsg_rd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milscm_2023_009.sny_202310_backup_text_mml_mmlsg_rd;</v>
      </c>
      <c r="O10" s="76"/>
      <c r="P10" s="76"/>
      <c r="Q10" s="76"/>
      <c r="R10" s="76"/>
      <c r="S10" s="76"/>
      <c r="T10" s="76"/>
      <c r="AJ10" s="76" t="str">
        <f>"ALTER TABLE ONLY "&amp;エンティティ一覧!$O$2&amp;"."&amp;D$8</f>
        <v>ALTER TABLE ONLY milscm_2023_009.sny_202310_backup_text_mml_mmlsg_rd</v>
      </c>
      <c r="AS10" s="76" t="str">
        <f>"ALTER TABLE "&amp;エンティティ一覧!$O$2&amp;"."&amp;D$8&amp;" OWNER TO pgmisgrp1;"</f>
        <v>ALTER TABLE milscm_2023_009.sny_202310_backup_text_mml_mmlsg_rd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v>
      </c>
      <c r="O11" s="76"/>
      <c r="P11" s="76"/>
      <c r="Q11" s="76"/>
      <c r="R11" s="76"/>
      <c r="S11" s="76"/>
      <c r="T11" s="76"/>
      <c r="AJ11" s="76" t="str">
        <f>"ADD CONSTRAINT "&amp;D$8&amp;"_pkey PRIMARY KEY"</f>
        <v>ADD CONSTRAINT sny_202310_backup_text_mml_mmlsg_rd_pkey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1305</v>
      </c>
      <c r="D20" s="6" t="s">
        <v>2791</v>
      </c>
      <c r="E20" s="8"/>
      <c r="F20" s="7" t="s">
        <v>1823</v>
      </c>
      <c r="G20" s="7" t="str">
        <f t="shared" si="3"/>
        <v>text</v>
      </c>
      <c r="H20" s="26"/>
      <c r="I20" s="10"/>
      <c r="J20" s="11" t="s">
        <v>2796</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milscm_2023_009.sny_202310_backup_text_mml_mmlsg_rd.start_date IS '疾患開始日';</v>
      </c>
    </row>
    <row r="21" spans="1:52" s="25" customFormat="1" ht="29.45" customHeight="1">
      <c r="A21" s="4"/>
      <c r="B21" s="21">
        <f t="shared" si="2"/>
        <v>9</v>
      </c>
      <c r="C21" s="6" t="s">
        <v>1307</v>
      </c>
      <c r="D21" s="6" t="s">
        <v>2792</v>
      </c>
      <c r="E21" s="8"/>
      <c r="F21" s="7" t="s">
        <v>1823</v>
      </c>
      <c r="G21" s="7" t="str">
        <f t="shared" si="3"/>
        <v>text</v>
      </c>
      <c r="H21" s="26"/>
      <c r="I21" s="10"/>
      <c r="J21" s="11" t="s">
        <v>2796</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1309</v>
      </c>
      <c r="D22" s="6" t="s">
        <v>2793</v>
      </c>
      <c r="E22" s="8"/>
      <c r="F22" s="7" t="s">
        <v>1823</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milscm_2023_009.sny_202310_backup_text_mml_mmlsg_rd.outcome IS '転帰';</v>
      </c>
    </row>
    <row r="23" spans="1:52" s="25" customFormat="1" ht="19.5" thickBot="1">
      <c r="A23" s="4"/>
      <c r="B23" s="27">
        <f>ROW()-12</f>
        <v>11</v>
      </c>
      <c r="C23" s="57" t="s">
        <v>1311</v>
      </c>
      <c r="D23" s="57" t="s">
        <v>2794</v>
      </c>
      <c r="E23" s="56"/>
      <c r="F23" s="56" t="s">
        <v>1823</v>
      </c>
      <c r="G23" s="56" t="str">
        <f t="shared" si="3"/>
        <v>text</v>
      </c>
      <c r="H23" s="59"/>
      <c r="I23" s="60"/>
      <c r="J23" s="64"/>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ENT_01_A6-45</v>
      </c>
      <c r="E6" s="240"/>
      <c r="F6" s="240"/>
      <c r="G6" s="240"/>
      <c r="H6" s="240"/>
      <c r="I6" s="240"/>
      <c r="J6" s="241"/>
    </row>
    <row r="7" spans="1:45">
      <c r="B7" s="229" t="s">
        <v>115</v>
      </c>
      <c r="C7" s="230"/>
      <c r="D7" s="231" t="s">
        <v>2920</v>
      </c>
      <c r="E7" s="232"/>
      <c r="F7" s="232"/>
      <c r="G7" s="232"/>
      <c r="H7" s="232"/>
      <c r="I7" s="232"/>
      <c r="J7" s="233"/>
    </row>
    <row r="8" spans="1:45">
      <c r="B8" s="229" t="s">
        <v>116</v>
      </c>
      <c r="C8" s="230"/>
      <c r="D8" s="231" t="str">
        <f>エンティティ一覧!AE2&amp;"_"&amp;D5&amp;"_text_mml_mmlsg_rd_byomei"</f>
        <v>sny_202310_backup_text_mml_mmlsg_rd_byomei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milscm_2023_009.sny_202310_backup_text_mml_mmlsg_rd_byomei;</v>
      </c>
      <c r="O10" s="76"/>
      <c r="P10" s="76"/>
      <c r="Q10" s="76"/>
      <c r="R10" s="76"/>
      <c r="S10" s="76"/>
      <c r="T10" s="76"/>
      <c r="AJ10" s="76" t="str">
        <f>"ALTER TABLE ONLY "&amp;エンティティ一覧!$O$2&amp;"."&amp;D$8</f>
        <v>ALTER TABLE ONLY milscm_2023_009.sny_202310_backup_text_mml_mmlsg_rd_byomei</v>
      </c>
      <c r="AS10" s="76" t="str">
        <f>"ALTER TABLE "&amp;エンティティ一覧!$O$2&amp;"."&amp;D$8&amp;" OWNER TO pgmisgrp1;"</f>
        <v>ALTER TABLE milscm_2023_009.sny_202310_backup_text_mml_mmlsg_rd_byomei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milscm_2023_009.sny_202310_backup_text_mml_mmlsg_rd_byomei</v>
      </c>
      <c r="O11" s="76"/>
      <c r="P11" s="76"/>
      <c r="Q11" s="76"/>
      <c r="R11" s="76"/>
      <c r="S11" s="76"/>
      <c r="T11" s="76"/>
      <c r="AJ11" s="76" t="str">
        <f>"ADD CONSTRAINT "&amp;D$8&amp;"_pkey PRIMARY KEY"</f>
        <v>ADD CONSTRAINT sny_202310_backup_text_mml_mmlsg_rd_byomei_pkey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2785</v>
      </c>
      <c r="D14" s="6" t="s">
        <v>2786</v>
      </c>
      <c r="E14" s="8" t="s">
        <v>127</v>
      </c>
      <c r="F14" s="7" t="s">
        <v>2784</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2798</v>
      </c>
      <c r="D20" s="6" t="s">
        <v>2799</v>
      </c>
      <c r="E20" s="8" t="s">
        <v>127</v>
      </c>
      <c r="F20" s="7" t="s">
        <v>2784</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milscm_2023_009.sny_202310_backup_text_mml_mmlsg_rd_byomei.byomei_no IS '病名No';</v>
      </c>
    </row>
    <row r="21" spans="1:52" s="25" customFormat="1" ht="29.45" customHeight="1">
      <c r="A21" s="4"/>
      <c r="B21" s="21">
        <f t="shared" si="2"/>
        <v>9</v>
      </c>
      <c r="C21" s="6" t="s">
        <v>2800</v>
      </c>
      <c r="D21" s="6" t="s">
        <v>2801</v>
      </c>
      <c r="E21" s="8"/>
      <c r="F21" s="7" t="s">
        <v>1823</v>
      </c>
      <c r="G21" s="7" t="str">
        <f t="shared" si="3"/>
        <v>text</v>
      </c>
      <c r="H21" s="26"/>
      <c r="I21" s="10"/>
      <c r="J21" s="11" t="s">
        <v>2806</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milscm_2023_009.sny_202310_backup_text_mml_mmlsg_rd_byomei.tag_name IS 'タグ名';</v>
      </c>
    </row>
    <row r="22" spans="1:52" s="25" customFormat="1" ht="37.5">
      <c r="A22" s="4"/>
      <c r="B22" s="21">
        <f t="shared" si="2"/>
        <v>10</v>
      </c>
      <c r="C22" s="6" t="s">
        <v>1323</v>
      </c>
      <c r="D22" s="6" t="s">
        <v>2802</v>
      </c>
      <c r="E22" s="8"/>
      <c r="F22" s="7" t="s">
        <v>1823</v>
      </c>
      <c r="G22" s="7" t="str">
        <f t="shared" ref="G22" si="7">IF(F22="フラグ","boolean",IF(F22="文字列","text",IF(F22="整数","integer",IF(F22="実数","numeric",""))))</f>
        <v>text</v>
      </c>
      <c r="H22" s="26"/>
      <c r="I22" s="10"/>
      <c r="J22" s="11" t="s">
        <v>2807</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2803</v>
      </c>
      <c r="D23" s="6" t="s">
        <v>359</v>
      </c>
      <c r="E23" s="8"/>
      <c r="F23" s="7" t="s">
        <v>1823</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milscm_2023_009.sny_202310_backup_text_mml_mmlsg_rd_byomei.code IS 'コード値';</v>
      </c>
    </row>
    <row r="24" spans="1:52" s="25" customFormat="1" ht="19.5" thickBot="1">
      <c r="A24" s="4"/>
      <c r="B24" s="27">
        <f>ROW()-12</f>
        <v>12</v>
      </c>
      <c r="C24" s="57" t="s">
        <v>2804</v>
      </c>
      <c r="D24" s="57" t="s">
        <v>2805</v>
      </c>
      <c r="E24" s="56"/>
      <c r="F24" s="56" t="s">
        <v>1823</v>
      </c>
      <c r="G24" s="56" t="str">
        <f t="shared" si="3"/>
        <v>text</v>
      </c>
      <c r="H24" s="59"/>
      <c r="I24" s="60"/>
      <c r="J24" s="64"/>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ENT_01_A6-46</v>
      </c>
      <c r="E6" s="240"/>
      <c r="F6" s="240"/>
      <c r="G6" s="240"/>
      <c r="H6" s="240"/>
      <c r="I6" s="240"/>
      <c r="J6" s="241"/>
    </row>
    <row r="7" spans="1:45">
      <c r="B7" s="229" t="s">
        <v>115</v>
      </c>
      <c r="C7" s="230"/>
      <c r="D7" s="231" t="s">
        <v>2921</v>
      </c>
      <c r="E7" s="232"/>
      <c r="F7" s="232"/>
      <c r="G7" s="232"/>
      <c r="H7" s="232"/>
      <c r="I7" s="232"/>
      <c r="J7" s="233"/>
    </row>
    <row r="8" spans="1:45">
      <c r="B8" s="229" t="s">
        <v>116</v>
      </c>
      <c r="C8" s="230"/>
      <c r="D8" s="231" t="str">
        <f>エンティティ一覧!AE2&amp;"_"&amp;D5&amp;"_text_mml_mmlsg_rd_category"</f>
        <v>sny_202310_backup_text_mml_mmlsg_rd_category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milscm_2023_009.sny_202310_backup_text_mml_mmlsg_rd_category;</v>
      </c>
      <c r="O10" s="76"/>
      <c r="P10" s="76"/>
      <c r="Q10" s="76"/>
      <c r="R10" s="76"/>
      <c r="S10" s="76"/>
      <c r="T10" s="76"/>
      <c r="AJ10" s="76" t="str">
        <f>"ALTER TABLE ONLY "&amp;エンティティ一覧!$O$2&amp;"."&amp;D$8</f>
        <v>ALTER TABLE ONLY milscm_2023_009.sny_202310_backup_text_mml_mmlsg_rd_category</v>
      </c>
      <c r="AS10" s="76" t="str">
        <f>"ALTER TABLE "&amp;エンティティ一覧!$O$2&amp;"."&amp;D$8&amp;" OWNER TO pgmisgrp1;"</f>
        <v>ALTER TABLE milscm_2023_009.sny_202310_backup_text_mml_mmlsg_rd_category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milscm_2023_009.sny_202310_backup_text_mml_mmlsg_rd_category</v>
      </c>
      <c r="O11" s="76"/>
      <c r="P11" s="76"/>
      <c r="Q11" s="76"/>
      <c r="R11" s="76"/>
      <c r="S11" s="76"/>
      <c r="T11" s="76"/>
      <c r="AJ11" s="76" t="str">
        <f>"ADD CONSTRAINT "&amp;D$8&amp;"_pkey PRIMARY KEY"</f>
        <v>ADD CONSTRAINT sny_202310_backup_text_mml_mmlsg_rd_category_pkey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2809</v>
      </c>
      <c r="D20" s="6" t="s">
        <v>2810</v>
      </c>
      <c r="E20" s="8" t="s">
        <v>127</v>
      </c>
      <c r="F20" s="7" t="s">
        <v>2784</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1337</v>
      </c>
      <c r="D21" s="6" t="s">
        <v>2811</v>
      </c>
      <c r="E21" s="8"/>
      <c r="F21" s="7" t="s">
        <v>1823</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milscm_2023_009.sny_202310_backup_text_mml_mmlsg_rd_category.category IS '分類名';</v>
      </c>
    </row>
    <row r="22" spans="1:52" s="25" customFormat="1" ht="19.5" thickBot="1">
      <c r="A22" s="4"/>
      <c r="B22" s="27">
        <f>ROW()-12</f>
        <v>10</v>
      </c>
      <c r="C22" s="57" t="s">
        <v>1339</v>
      </c>
      <c r="D22" s="57" t="s">
        <v>2812</v>
      </c>
      <c r="E22" s="56"/>
      <c r="F22" s="56" t="s">
        <v>1823</v>
      </c>
      <c r="G22" s="56" t="str">
        <f t="shared" si="3"/>
        <v>text</v>
      </c>
      <c r="H22" s="59"/>
      <c r="I22" s="60"/>
      <c r="J22" s="64"/>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ENT_01_A6-47</v>
      </c>
      <c r="E6" s="240"/>
      <c r="F6" s="240"/>
      <c r="G6" s="240"/>
      <c r="H6" s="240"/>
      <c r="I6" s="240"/>
      <c r="J6" s="241"/>
    </row>
    <row r="7" spans="1:45">
      <c r="B7" s="229" t="s">
        <v>115</v>
      </c>
      <c r="C7" s="230"/>
      <c r="D7" s="231" t="s">
        <v>2922</v>
      </c>
      <c r="E7" s="232"/>
      <c r="F7" s="232"/>
      <c r="G7" s="232"/>
      <c r="H7" s="232"/>
      <c r="I7" s="232"/>
      <c r="J7" s="233"/>
    </row>
    <row r="8" spans="1:45">
      <c r="B8" s="229" t="s">
        <v>116</v>
      </c>
      <c r="C8" s="230"/>
      <c r="D8" s="231" t="str">
        <f>エンティティ一覧!AE2&amp;"_"&amp;D5&amp;"_text_mml_mmlsg_procedure_item"</f>
        <v>sny_202310_backup_text_mml_mmlsg_procedure_item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milscm_2023_009.sny_202310_backup_text_mml_mmlsg_procedure_item;</v>
      </c>
      <c r="O10" s="76"/>
      <c r="P10" s="76"/>
      <c r="Q10" s="76"/>
      <c r="R10" s="76"/>
      <c r="S10" s="76"/>
      <c r="T10" s="76"/>
      <c r="AJ10" s="76" t="str">
        <f>"ALTER TABLE ONLY "&amp;エンティティ一覧!$O$2&amp;"."&amp;D$8</f>
        <v>ALTER TABLE ONLY milscm_2023_009.sny_202310_backup_text_mml_mmlsg_procedure_item</v>
      </c>
      <c r="AS10" s="76" t="str">
        <f>"ALTER TABLE "&amp;エンティティ一覧!$O$2&amp;"."&amp;D$8&amp;" OWNER TO pgmisgrp1;"</f>
        <v>ALTER TABLE milscm_2023_009.sny_202310_backup_text_mml_mmlsg_procedure_item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milscm_2023_009.sny_202310_backup_text_mml_mmlsg_procedure_item</v>
      </c>
      <c r="O11" s="76"/>
      <c r="P11" s="76"/>
      <c r="Q11" s="76"/>
      <c r="R11" s="76"/>
      <c r="S11" s="76"/>
      <c r="T11" s="76"/>
      <c r="AJ11" s="76" t="str">
        <f>"ADD CONSTRAINT "&amp;D$8&amp;"_pkey PRIMARY KEY"</f>
        <v>ADD CONSTRAINT sny_202310_backup_text_mml_mmlsg_procedure_item_pkey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2923</v>
      </c>
      <c r="D19" s="6" t="s">
        <v>2924</v>
      </c>
      <c r="E19" s="8" t="s">
        <v>127</v>
      </c>
      <c r="F19" s="7" t="s">
        <v>2784</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2925</v>
      </c>
      <c r="D20" s="6" t="s">
        <v>2926</v>
      </c>
      <c r="E20" s="8"/>
      <c r="F20" s="7" t="s">
        <v>1823</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2927</v>
      </c>
      <c r="D21" s="6" t="s">
        <v>359</v>
      </c>
      <c r="E21" s="8"/>
      <c r="F21" s="7" t="s">
        <v>1823</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2928</v>
      </c>
      <c r="D22" s="6" t="s">
        <v>2805</v>
      </c>
      <c r="E22" s="8"/>
      <c r="F22" s="7" t="s">
        <v>1823</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milscm_2023_009.sny_202310_backup_text_mml_mmlsg_procedure_item.system IS '手術法コード体系名';</v>
      </c>
    </row>
    <row r="23" spans="1:52" s="25" customFormat="1" ht="19.5" thickBot="1">
      <c r="A23" s="4"/>
      <c r="B23" s="27">
        <f>ROW()-12</f>
        <v>11</v>
      </c>
      <c r="C23" s="57" t="s">
        <v>2929</v>
      </c>
      <c r="D23" s="57" t="s">
        <v>2930</v>
      </c>
      <c r="E23" s="56"/>
      <c r="F23" s="56" t="s">
        <v>1823</v>
      </c>
      <c r="G23" s="56" t="str">
        <f t="shared" si="3"/>
        <v>text</v>
      </c>
      <c r="H23" s="59"/>
      <c r="I23" s="60"/>
      <c r="J23" s="64"/>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ENT_01_A6-48</v>
      </c>
      <c r="E6" s="240"/>
      <c r="F6" s="240"/>
      <c r="G6" s="240"/>
      <c r="H6" s="240"/>
      <c r="I6" s="240"/>
      <c r="J6" s="241"/>
    </row>
    <row r="7" spans="1:45">
      <c r="B7" s="229" t="s">
        <v>115</v>
      </c>
      <c r="C7" s="230"/>
      <c r="D7" s="231" t="s">
        <v>2931</v>
      </c>
      <c r="E7" s="232"/>
      <c r="F7" s="232"/>
      <c r="G7" s="232"/>
      <c r="H7" s="232"/>
      <c r="I7" s="232"/>
      <c r="J7" s="233"/>
    </row>
    <row r="8" spans="1:45">
      <c r="B8" s="229" t="s">
        <v>116</v>
      </c>
      <c r="C8" s="230"/>
      <c r="D8" s="231" t="str">
        <f>エンティティ一覧!AE2&amp;"_"&amp;D5&amp;"_text_mml_mmlsg_operation_element"</f>
        <v>sny_202310_backup_text_mml_mmlsg_operation_element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milscm_2023_009.sny_202310_backup_text_mml_mmlsg_operation_element;</v>
      </c>
      <c r="O10" s="76"/>
      <c r="P10" s="76"/>
      <c r="Q10" s="76"/>
      <c r="R10" s="76"/>
      <c r="S10" s="76"/>
      <c r="T10" s="76"/>
      <c r="AJ10" s="76" t="str">
        <f>"ALTER TABLE ONLY "&amp;エンティティ一覧!$O$2&amp;"."&amp;D$8</f>
        <v>ALTER TABLE ONLY milscm_2023_009.sny_202310_backup_text_mml_mmlsg_operation_element</v>
      </c>
      <c r="AS10" s="76" t="str">
        <f>"ALTER TABLE "&amp;エンティティ一覧!$O$2&amp;"."&amp;D$8&amp;" OWNER TO pgmisgrp1;"</f>
        <v>ALTER TABLE milscm_2023_009.sny_202310_backup_text_mml_mmlsg_operation_element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milscm_2023_009.sny_202310_backup_text_mml_mmlsg_operation_element</v>
      </c>
      <c r="O11" s="76"/>
      <c r="P11" s="76"/>
      <c r="Q11" s="76"/>
      <c r="R11" s="76"/>
      <c r="S11" s="76"/>
      <c r="T11" s="76"/>
      <c r="AJ11" s="76" t="str">
        <f>"ADD CONSTRAINT "&amp;D$8&amp;"_pkey PRIMARY KEY"</f>
        <v>ADD CONSTRAINT sny_202310_backup_text_mml_mmlsg_operation_element_pkey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2923</v>
      </c>
      <c r="D19" s="6" t="s">
        <v>2924</v>
      </c>
      <c r="E19" s="8" t="s">
        <v>127</v>
      </c>
      <c r="F19" s="7" t="s">
        <v>2784</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2932</v>
      </c>
      <c r="D20" s="6" t="s">
        <v>2933</v>
      </c>
      <c r="E20" s="8" t="s">
        <v>127</v>
      </c>
      <c r="F20" s="7" t="s">
        <v>2784</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2934</v>
      </c>
      <c r="D21" s="6" t="s">
        <v>2926</v>
      </c>
      <c r="E21" s="8"/>
      <c r="F21" s="7" t="s">
        <v>1823</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2927</v>
      </c>
      <c r="D22" s="6" t="s">
        <v>359</v>
      </c>
      <c r="E22" s="8"/>
      <c r="F22" s="7" t="s">
        <v>1823</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milscm_2023_009.sny_202310_backup_text_mml_mmlsg_operation_element.code IS '手術法コード';</v>
      </c>
    </row>
    <row r="23" spans="1:52" s="25" customFormat="1" ht="19.5" thickBot="1">
      <c r="A23" s="4"/>
      <c r="B23" s="27">
        <f>ROW()-12</f>
        <v>11</v>
      </c>
      <c r="C23" s="57" t="s">
        <v>2928</v>
      </c>
      <c r="D23" s="57" t="s">
        <v>2805</v>
      </c>
      <c r="E23" s="56"/>
      <c r="F23" s="56" t="s">
        <v>1823</v>
      </c>
      <c r="G23" s="56" t="str">
        <f t="shared" si="3"/>
        <v>text</v>
      </c>
      <c r="H23" s="59"/>
      <c r="I23" s="60"/>
      <c r="J23" s="64"/>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ENT_01_A6-49</v>
      </c>
      <c r="E6" s="240"/>
      <c r="F6" s="240"/>
      <c r="G6" s="240"/>
      <c r="H6" s="240"/>
      <c r="I6" s="240"/>
      <c r="J6" s="241"/>
    </row>
    <row r="7" spans="1:45">
      <c r="B7" s="229" t="s">
        <v>115</v>
      </c>
      <c r="C7" s="230"/>
      <c r="D7" s="231" t="s">
        <v>2935</v>
      </c>
      <c r="E7" s="232"/>
      <c r="F7" s="232"/>
      <c r="G7" s="232"/>
      <c r="H7" s="232"/>
      <c r="I7" s="232"/>
      <c r="J7" s="233"/>
    </row>
    <row r="8" spans="1:45">
      <c r="B8" s="229" t="s">
        <v>116</v>
      </c>
      <c r="C8" s="230"/>
      <c r="D8" s="231" t="str">
        <f>エンティティ一覧!AE2&amp;"_"&amp;D5&amp;"_text_mml_mmlsg_anesthesia_procedure"</f>
        <v>sny_202310_backup_text_mml_mmlsg_anesthesia_procedure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milscm_2023_009.sny_202310_backup_text_mml_mmlsg_anesthesia_procedure;</v>
      </c>
      <c r="O10" s="76"/>
      <c r="P10" s="76"/>
      <c r="Q10" s="76"/>
      <c r="R10" s="76"/>
      <c r="S10" s="76"/>
      <c r="T10" s="76"/>
      <c r="AJ10" s="76" t="str">
        <f>"ALTER TABLE ONLY "&amp;エンティティ一覧!$O$2&amp;"."&amp;D$8</f>
        <v>ALTER TABLE ONLY milscm_2023_009.sny_202310_backup_text_mml_mmlsg_anesthesia_procedure</v>
      </c>
      <c r="AS10" s="76" t="str">
        <f>"ALTER TABLE "&amp;エンティティ一覧!$O$2&amp;"."&amp;D$8&amp;" OWNER TO pgmisgrp1;"</f>
        <v>ALTER TABLE milscm_2023_009.sny_202310_backup_text_mml_mmlsg_anesthesia_procedure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milscm_2023_009.sny_202310_backup_text_mml_mmlsg_anesthesia_procedure</v>
      </c>
      <c r="O11" s="76"/>
      <c r="P11" s="76"/>
      <c r="Q11" s="76"/>
      <c r="R11" s="76"/>
      <c r="S11" s="76"/>
      <c r="T11" s="76"/>
      <c r="AJ11" s="76" t="str">
        <f>"ADD CONSTRAINT "&amp;D$8&amp;"_pkey PRIMARY KEY"</f>
        <v>ADD CONSTRAINT sny_202310_backup_text_mml_mmlsg_anesthesia_procedure_pkey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2936</v>
      </c>
      <c r="D19" s="6" t="s">
        <v>2937</v>
      </c>
      <c r="E19" s="8" t="s">
        <v>127</v>
      </c>
      <c r="F19" s="7" t="s">
        <v>2784</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2938</v>
      </c>
      <c r="D20" s="6" t="s">
        <v>2939</v>
      </c>
      <c r="E20" s="8"/>
      <c r="F20" s="7" t="s">
        <v>1823</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2940</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milscm_2023_009.sny_202310_backup_text_mml_mmlsg_anesthesia_procedure.code IS '麻酔法名コード';</v>
      </c>
    </row>
    <row r="22" spans="1:52" s="25" customFormat="1" ht="19.5" thickBot="1">
      <c r="A22" s="4"/>
      <c r="B22" s="27">
        <f>ROW()-12</f>
        <v>10</v>
      </c>
      <c r="C22" s="57" t="s">
        <v>2941</v>
      </c>
      <c r="D22" s="57" t="s">
        <v>2805</v>
      </c>
      <c r="E22" s="56"/>
      <c r="F22" s="56" t="s">
        <v>1823</v>
      </c>
      <c r="G22" s="56" t="str">
        <f t="shared" si="3"/>
        <v>text</v>
      </c>
      <c r="H22" s="59"/>
      <c r="I22" s="60"/>
      <c r="J22" s="64"/>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ENT_01_A6-50</v>
      </c>
      <c r="E6" s="240"/>
      <c r="F6" s="240"/>
      <c r="G6" s="240"/>
      <c r="H6" s="240"/>
      <c r="I6" s="240"/>
      <c r="J6" s="241"/>
    </row>
    <row r="7" spans="1:45">
      <c r="B7" s="229" t="s">
        <v>115</v>
      </c>
      <c r="C7" s="230"/>
      <c r="D7" s="231" t="s">
        <v>2942</v>
      </c>
      <c r="E7" s="232"/>
      <c r="F7" s="232"/>
      <c r="G7" s="232"/>
      <c r="H7" s="232"/>
      <c r="I7" s="232"/>
      <c r="J7" s="233"/>
    </row>
    <row r="8" spans="1:45">
      <c r="B8" s="229" t="s">
        <v>116</v>
      </c>
      <c r="C8" s="230"/>
      <c r="D8" s="231" t="str">
        <f>エンティティ一覧!AE2&amp;"_"&amp;D5&amp;"_text_mml_mmlrp_body"</f>
        <v>sny_202310_backup_text_mml_mmlrp_body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milscm_2023_009.sny_202310_backup_text_mml_mmlrp_body;</v>
      </c>
      <c r="O10" s="76"/>
      <c r="P10" s="76"/>
      <c r="Q10" s="76"/>
      <c r="R10" s="76"/>
      <c r="S10" s="76"/>
      <c r="T10" s="76"/>
      <c r="AJ10" s="76" t="str">
        <f>"ALTER TABLE ONLY "&amp;エンティティ一覧!$O$2&amp;"."&amp;D$8</f>
        <v>ALTER TABLE ONLY milscm_2023_009.sny_202310_backup_text_mml_mmlrp_body</v>
      </c>
      <c r="AS10" s="76" t="str">
        <f>"ALTER TABLE "&amp;エンティティ一覧!$O$2&amp;"."&amp;D$8&amp;" OWNER TO pgmisgrp1;"</f>
        <v>ALTER TABLE milscm_2023_009.sny_202310_backup_text_mml_mmlrp_body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milscm_2023_009.sny_202310_backup_text_mml_mmlrp_body</v>
      </c>
      <c r="O11" s="76"/>
      <c r="P11" s="76"/>
      <c r="Q11" s="76"/>
      <c r="R11" s="76"/>
      <c r="S11" s="76"/>
      <c r="T11" s="76"/>
      <c r="AJ11" s="76" t="str">
        <f>"ADD CONSTRAINT "&amp;D$8&amp;"_pkey PRIMARY KEY"</f>
        <v>ADD CONSTRAINT sny_202310_backup_text_mml_mmlrp_body_pkey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2785</v>
      </c>
      <c r="D14" s="6" t="s">
        <v>2786</v>
      </c>
      <c r="E14" s="8" t="s">
        <v>127</v>
      </c>
      <c r="F14" s="7" t="s">
        <v>2784</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2943</v>
      </c>
      <c r="D18" s="6" t="s">
        <v>2944</v>
      </c>
      <c r="E18" s="8"/>
      <c r="F18" s="7" t="s">
        <v>1823</v>
      </c>
      <c r="G18" s="7" t="str">
        <f t="shared" si="3"/>
        <v>text</v>
      </c>
      <c r="H18" s="26"/>
      <c r="I18" s="10"/>
      <c r="J18" s="11" t="s">
        <v>2796</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1554</v>
      </c>
      <c r="D19" s="6" t="s">
        <v>1555</v>
      </c>
      <c r="E19" s="8"/>
      <c r="F19" s="7" t="s">
        <v>1823</v>
      </c>
      <c r="G19" s="7" t="str">
        <f t="shared" si="3"/>
        <v>text</v>
      </c>
      <c r="H19" s="26"/>
      <c r="I19" s="10"/>
      <c r="J19" s="11" t="s">
        <v>2796</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1556</v>
      </c>
      <c r="D20" s="6" t="s">
        <v>2945</v>
      </c>
      <c r="E20" s="8"/>
      <c r="F20" s="7" t="s">
        <v>1823</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1558</v>
      </c>
      <c r="D21" s="6" t="s">
        <v>2946</v>
      </c>
      <c r="E21" s="8"/>
      <c r="F21" s="7" t="s">
        <v>1823</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2947</v>
      </c>
      <c r="D22" s="6" t="s">
        <v>2948</v>
      </c>
      <c r="E22" s="8"/>
      <c r="F22" s="7" t="s">
        <v>1823</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2949</v>
      </c>
      <c r="D23" s="6" t="s">
        <v>2950</v>
      </c>
      <c r="E23" s="8"/>
      <c r="F23" s="7" t="s">
        <v>1823</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2951</v>
      </c>
      <c r="D24" s="6" t="s">
        <v>2952</v>
      </c>
      <c r="E24" s="8"/>
      <c r="F24" s="7" t="s">
        <v>1823</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2953</v>
      </c>
      <c r="D25" s="6" t="s">
        <v>2954</v>
      </c>
      <c r="E25" s="8"/>
      <c r="F25" s="7" t="s">
        <v>1823</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2955</v>
      </c>
      <c r="D26" s="6" t="s">
        <v>2956</v>
      </c>
      <c r="E26" s="8"/>
      <c r="F26" s="7" t="s">
        <v>1823</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2957</v>
      </c>
      <c r="D27" s="6" t="s">
        <v>2958</v>
      </c>
      <c r="E27" s="8"/>
      <c r="F27" s="7" t="s">
        <v>1823</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2959</v>
      </c>
      <c r="D28" s="6" t="s">
        <v>2960</v>
      </c>
      <c r="E28" s="8"/>
      <c r="F28" s="7" t="s">
        <v>1823</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2961</v>
      </c>
      <c r="D29" s="6" t="s">
        <v>2962</v>
      </c>
      <c r="E29" s="8"/>
      <c r="F29" s="7" t="s">
        <v>1823</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milscm_2023_009.sny_202310_backup_text_mml_mmlrp_body.organ IS '臓器';</v>
      </c>
    </row>
    <row r="30" spans="1:45" s="25" customFormat="1">
      <c r="A30" s="4"/>
      <c r="B30" s="21">
        <f t="shared" si="2"/>
        <v>18</v>
      </c>
      <c r="C30" s="6" t="s">
        <v>2963</v>
      </c>
      <c r="D30" s="6" t="s">
        <v>2964</v>
      </c>
      <c r="E30" s="8"/>
      <c r="F30" s="7" t="s">
        <v>1823</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1568</v>
      </c>
      <c r="D31" s="6" t="s">
        <v>2965</v>
      </c>
      <c r="E31" s="8"/>
      <c r="F31" s="7" t="s">
        <v>1823</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1570</v>
      </c>
      <c r="D32" s="6" t="s">
        <v>2966</v>
      </c>
      <c r="E32" s="8"/>
      <c r="F32" s="7" t="s">
        <v>1823</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1572</v>
      </c>
      <c r="D33" s="6" t="s">
        <v>2967</v>
      </c>
      <c r="E33" s="8"/>
      <c r="F33" s="7" t="s">
        <v>1823</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1574</v>
      </c>
      <c r="D34" s="6" t="s">
        <v>2968</v>
      </c>
      <c r="E34" s="8"/>
      <c r="F34" s="7" t="s">
        <v>1823</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milscm_2023_009.sny_202310_backup_text_mml_mmlrp_body.con_department_code IS '依頼診療科コード';</v>
      </c>
    </row>
    <row r="35" spans="1:45" s="25" customFormat="1">
      <c r="A35" s="4"/>
      <c r="B35" s="21">
        <f t="shared" si="2"/>
        <v>23</v>
      </c>
      <c r="C35" s="6" t="s">
        <v>2969</v>
      </c>
      <c r="D35" s="6" t="s">
        <v>2970</v>
      </c>
      <c r="E35" s="8"/>
      <c r="F35" s="7" t="s">
        <v>1823</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1576</v>
      </c>
      <c r="D36" s="6" t="s">
        <v>2971</v>
      </c>
      <c r="E36" s="8"/>
      <c r="F36" s="7" t="s">
        <v>1823</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1578</v>
      </c>
      <c r="D37" s="6" t="s">
        <v>2972</v>
      </c>
      <c r="E37" s="8"/>
      <c r="F37" s="7" t="s">
        <v>1823</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1580</v>
      </c>
      <c r="D38" s="6" t="s">
        <v>2973</v>
      </c>
      <c r="E38" s="8"/>
      <c r="F38" s="7" t="s">
        <v>1823</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2974</v>
      </c>
      <c r="D39" s="6" t="s">
        <v>2975</v>
      </c>
      <c r="E39" s="8"/>
      <c r="F39" s="7" t="s">
        <v>1823</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2976</v>
      </c>
      <c r="D40" s="6" t="s">
        <v>2977</v>
      </c>
      <c r="E40" s="8"/>
      <c r="F40" s="7" t="s">
        <v>1823</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2978</v>
      </c>
      <c r="D41" s="6" t="s">
        <v>2979</v>
      </c>
      <c r="E41" s="8"/>
      <c r="F41" s="7" t="s">
        <v>1823</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2980</v>
      </c>
      <c r="D42" s="6" t="s">
        <v>2981</v>
      </c>
      <c r="E42" s="8"/>
      <c r="F42" s="7" t="s">
        <v>1823</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2982</v>
      </c>
      <c r="D43" s="6" t="s">
        <v>2983</v>
      </c>
      <c r="E43" s="8"/>
      <c r="F43" s="7" t="s">
        <v>1823</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2984</v>
      </c>
      <c r="D44" s="6" t="s">
        <v>2985</v>
      </c>
      <c r="E44" s="8"/>
      <c r="F44" s="7" t="s">
        <v>1823</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2986</v>
      </c>
      <c r="D45" s="6" t="s">
        <v>2987</v>
      </c>
      <c r="E45" s="8"/>
      <c r="F45" s="7" t="s">
        <v>1823</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2988</v>
      </c>
      <c r="D46" s="6" t="s">
        <v>2989</v>
      </c>
      <c r="E46" s="8"/>
      <c r="F46" s="7" t="s">
        <v>1823</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2990</v>
      </c>
      <c r="D47" s="6" t="s">
        <v>2991</v>
      </c>
      <c r="E47" s="8"/>
      <c r="F47" s="7" t="s">
        <v>1823</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1447</v>
      </c>
      <c r="D48" s="6" t="s">
        <v>1448</v>
      </c>
      <c r="E48" s="8"/>
      <c r="F48" s="7" t="s">
        <v>1823</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2992</v>
      </c>
      <c r="D49" s="6" t="s">
        <v>2993</v>
      </c>
      <c r="E49" s="8"/>
      <c r="F49" s="7" t="s">
        <v>1823</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2994</v>
      </c>
      <c r="D50" s="6" t="s">
        <v>2995</v>
      </c>
      <c r="E50" s="8"/>
      <c r="F50" s="7" t="s">
        <v>1823</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2996</v>
      </c>
      <c r="D51" s="6" t="s">
        <v>2997</v>
      </c>
      <c r="E51" s="8"/>
      <c r="F51" s="7" t="s">
        <v>1823</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milscm_2023_009.sny_202310_backup_text_mml_mmlrp_body.test_notes IS '検査所見記載';</v>
      </c>
    </row>
    <row r="52" spans="1:52" s="25" customFormat="1" ht="19.5" thickBot="1">
      <c r="A52" s="4"/>
      <c r="B52" s="27">
        <f>ROW()-12</f>
        <v>40</v>
      </c>
      <c r="C52" s="57" t="s">
        <v>2998</v>
      </c>
      <c r="D52" s="57" t="s">
        <v>2999</v>
      </c>
      <c r="E52" s="56"/>
      <c r="F52" s="56" t="s">
        <v>1823</v>
      </c>
      <c r="G52" s="56" t="str">
        <f t="shared" si="3"/>
        <v>text</v>
      </c>
      <c r="H52" s="59"/>
      <c r="I52" s="60"/>
      <c r="J52" s="64"/>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ENT_01_A6-51</v>
      </c>
      <c r="E6" s="240"/>
      <c r="F6" s="240"/>
      <c r="G6" s="240"/>
      <c r="H6" s="240"/>
      <c r="I6" s="240"/>
      <c r="J6" s="241"/>
    </row>
    <row r="7" spans="1:45">
      <c r="B7" s="229" t="s">
        <v>115</v>
      </c>
      <c r="C7" s="230"/>
      <c r="D7" s="231" t="s">
        <v>3000</v>
      </c>
      <c r="E7" s="232"/>
      <c r="F7" s="232"/>
      <c r="G7" s="232"/>
      <c r="H7" s="232"/>
      <c r="I7" s="232"/>
      <c r="J7" s="233"/>
    </row>
    <row r="8" spans="1:45">
      <c r="B8" s="229" t="s">
        <v>116</v>
      </c>
      <c r="C8" s="230"/>
      <c r="D8" s="231" t="str">
        <f>エンティティ一覧!AE2&amp;"_"&amp;D5&amp;"_text_mml_mmlrp_test_memo"</f>
        <v>sny_202310_backup_text_mml_mmlrp_test_memo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milscm_2023_009.sny_202310_backup_text_mml_mmlrp_test_memo;</v>
      </c>
      <c r="O10" s="76"/>
      <c r="P10" s="76"/>
      <c r="Q10" s="76"/>
      <c r="R10" s="76"/>
      <c r="S10" s="76"/>
      <c r="T10" s="76"/>
      <c r="AJ10" s="76" t="str">
        <f>"ALTER TABLE ONLY "&amp;エンティティ一覧!$O$2&amp;"."&amp;D$8</f>
        <v>ALTER TABLE ONLY milscm_2023_009.sny_202310_backup_text_mml_mmlrp_test_memo</v>
      </c>
      <c r="AS10" s="76" t="str">
        <f>"ALTER TABLE "&amp;エンティティ一覧!$O$2&amp;"."&amp;D$8&amp;" OWNER TO pgmisgrp1;"</f>
        <v>ALTER TABLE milscm_2023_009.sny_202310_backup_text_mml_mmlrp_test_memo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milscm_2023_009.sny_202310_backup_text_mml_mmlrp_test_memo</v>
      </c>
      <c r="O11" s="76"/>
      <c r="P11" s="76"/>
      <c r="Q11" s="76"/>
      <c r="R11" s="76"/>
      <c r="S11" s="76"/>
      <c r="T11" s="76"/>
      <c r="AJ11" s="76" t="str">
        <f>"ADD CONSTRAINT "&amp;D$8&amp;"_pkey PRIMARY KEY"</f>
        <v>ADD CONSTRAINT sny_202310_backup_text_mml_mmlrp_test_memo_pkey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3001</v>
      </c>
      <c r="D18" s="6" t="s">
        <v>3002</v>
      </c>
      <c r="E18" s="8" t="s">
        <v>127</v>
      </c>
      <c r="F18" s="7" t="s">
        <v>2784</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3003</v>
      </c>
      <c r="D19" s="6" t="s">
        <v>3004</v>
      </c>
      <c r="E19" s="8"/>
      <c r="F19" s="7" t="s">
        <v>1823</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3005</v>
      </c>
      <c r="D20" s="6" t="s">
        <v>3006</v>
      </c>
      <c r="E20" s="8"/>
      <c r="F20" s="7" t="s">
        <v>1823</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3007</v>
      </c>
      <c r="D21" s="6" t="s">
        <v>3008</v>
      </c>
      <c r="E21" s="8"/>
      <c r="F21" s="7" t="s">
        <v>1823</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milscm_2023_009.sny_202310_backup_text_mml_mmlrp_test_memo.tm_code IS '検査コメントコード';</v>
      </c>
    </row>
    <row r="22" spans="1:52" s="25" customFormat="1" ht="19.5" thickBot="1">
      <c r="A22" s="4"/>
      <c r="B22" s="27">
        <f>ROW()-12</f>
        <v>10</v>
      </c>
      <c r="C22" s="57" t="s">
        <v>3009</v>
      </c>
      <c r="D22" s="57" t="s">
        <v>3010</v>
      </c>
      <c r="E22" s="56"/>
      <c r="F22" s="56" t="s">
        <v>1823</v>
      </c>
      <c r="G22" s="56" t="str">
        <f t="shared" si="3"/>
        <v>text</v>
      </c>
      <c r="H22" s="59"/>
      <c r="I22" s="60"/>
      <c r="J22" s="64"/>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ENT_01_A6-52</v>
      </c>
      <c r="E6" s="240"/>
      <c r="F6" s="240"/>
      <c r="G6" s="240"/>
      <c r="H6" s="240"/>
      <c r="I6" s="240"/>
      <c r="J6" s="241"/>
    </row>
    <row r="7" spans="1:45">
      <c r="B7" s="229" t="s">
        <v>115</v>
      </c>
      <c r="C7" s="230"/>
      <c r="D7" s="231" t="s">
        <v>3218</v>
      </c>
      <c r="E7" s="232"/>
      <c r="F7" s="232"/>
      <c r="G7" s="232"/>
      <c r="H7" s="232"/>
      <c r="I7" s="232"/>
      <c r="J7" s="233"/>
    </row>
    <row r="8" spans="1:45">
      <c r="B8" s="229" t="s">
        <v>116</v>
      </c>
      <c r="C8" s="230"/>
      <c r="D8" s="231" t="str">
        <f>エンティティ一覧!AE2&amp;"_"&amp;D5&amp;"_text_mml_mmlls_body"</f>
        <v>sny_202310_backup_text_mml_mmlls_body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milscm_2023_009.sny_202310_backup_text_mml_mmlls_body;</v>
      </c>
      <c r="O10" s="76"/>
      <c r="P10" s="76"/>
      <c r="Q10" s="76"/>
      <c r="R10" s="76"/>
      <c r="S10" s="76"/>
      <c r="T10" s="76"/>
      <c r="AJ10" s="76" t="str">
        <f>"ALTER TABLE ONLY "&amp;エンティティ一覧!$O$2&amp;"."&amp;D$8</f>
        <v>ALTER TABLE ONLY milscm_2023_009.sny_202310_backup_text_mml_mmlls_body</v>
      </c>
      <c r="AS10" s="76" t="str">
        <f>"ALTER TABLE "&amp;エンティティ一覧!$O$2&amp;"."&amp;D$8&amp;" OWNER TO pgmisgrp1;"</f>
        <v>ALTER TABLE milscm_2023_009.sny_202310_backup_text_mml_mmlls_body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milscm_2023_009.sny_202310_backup_text_mml_mmlls_body</v>
      </c>
      <c r="O11" s="76"/>
      <c r="P11" s="76"/>
      <c r="Q11" s="76"/>
      <c r="R11" s="76"/>
      <c r="S11" s="76"/>
      <c r="T11" s="76"/>
      <c r="AJ11" s="76" t="str">
        <f>"ADD CONSTRAINT "&amp;D$8&amp;"_pkey PRIMARY KEY"</f>
        <v>ADD CONSTRAINT sny_202310_backup_text_mml_mmlls_body_pkey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2785</v>
      </c>
      <c r="D14" s="6" t="s">
        <v>2786</v>
      </c>
      <c r="E14" s="8" t="s">
        <v>127</v>
      </c>
      <c r="F14" s="7" t="s">
        <v>3276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milscm_2023_009.sny_202310_backup_text_mml_mmlls_body.body_no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3012</v>
      </c>
      <c r="D18" s="6" t="s">
        <v>3013</v>
      </c>
      <c r="E18" s="8"/>
      <c r="F18" s="7" t="s">
        <v>3278</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milscm_2023_009.sny_202310_backup_text_mml_mmlls_body.occupation IS '職業';</v>
      </c>
    </row>
    <row r="19" spans="1:52" s="25" customFormat="1">
      <c r="A19" s="4"/>
      <c r="B19" s="21">
        <f t="shared" si="2"/>
        <v>7</v>
      </c>
      <c r="C19" s="6" t="s">
        <v>3284</v>
      </c>
      <c r="D19" s="6" t="s">
        <v>3279</v>
      </c>
      <c r="E19" s="8"/>
      <c r="F19" s="7" t="s">
        <v>3278</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3280</v>
      </c>
      <c r="D20" s="6" t="s">
        <v>3281</v>
      </c>
      <c r="E20" s="8"/>
      <c r="F20" s="7" t="s">
        <v>3278</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milscm_2023_009.sny_202310_backup_text_mml_mmlls_body.alcohol IS '飲酒歴';</v>
      </c>
    </row>
    <row r="21" spans="1:52" s="25" customFormat="1" ht="19.5" thickBot="1">
      <c r="A21" s="4"/>
      <c r="B21" s="27">
        <f>ROW()-12</f>
        <v>9</v>
      </c>
      <c r="C21" s="57" t="s">
        <v>3282</v>
      </c>
      <c r="D21" s="57" t="s">
        <v>3283</v>
      </c>
      <c r="E21" s="56"/>
      <c r="F21" s="56" t="s">
        <v>3278</v>
      </c>
      <c r="G21" s="56" t="str">
        <f t="shared" si="3"/>
        <v>text</v>
      </c>
      <c r="H21" s="59"/>
      <c r="I21" s="60"/>
      <c r="J21" s="64"/>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ENT_01_A6-53</v>
      </c>
      <c r="E6" s="240"/>
      <c r="F6" s="240"/>
      <c r="G6" s="240"/>
      <c r="H6" s="240"/>
      <c r="I6" s="240"/>
      <c r="J6" s="241"/>
    </row>
    <row r="7" spans="1:45">
      <c r="B7" s="229" t="s">
        <v>115</v>
      </c>
      <c r="C7" s="230"/>
      <c r="D7" s="231" t="s">
        <v>3011</v>
      </c>
      <c r="E7" s="232"/>
      <c r="F7" s="232"/>
      <c r="G7" s="232"/>
      <c r="H7" s="232"/>
      <c r="I7" s="232"/>
      <c r="J7" s="233"/>
    </row>
    <row r="8" spans="1:45">
      <c r="B8" s="229" t="s">
        <v>116</v>
      </c>
      <c r="C8" s="230"/>
      <c r="D8" s="231" t="str">
        <f>エンティティ一覧!AE2&amp;"_"&amp;D5&amp;"_text_mml_mmlre_body"</f>
        <v>sny_202310_backup_text_mml_mmlre_body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milscm_2023_009.sny_202310_backup_text_mml_mmlre_body;</v>
      </c>
      <c r="O10" s="76"/>
      <c r="P10" s="76"/>
      <c r="Q10" s="76"/>
      <c r="R10" s="76"/>
      <c r="S10" s="76"/>
      <c r="T10" s="76"/>
      <c r="AJ10" s="76" t="str">
        <f>"ALTER TABLE ONLY "&amp;エンティティ一覧!$O$2&amp;"."&amp;D$8</f>
        <v>ALTER TABLE ONLY milscm_2023_009.sny_202310_backup_text_mml_mmlre_body</v>
      </c>
      <c r="AS10" s="76" t="str">
        <f>"ALTER TABLE "&amp;エンティティ一覧!$O$2&amp;"."&amp;D$8&amp;" OWNER TO pgmisgrp1;"</f>
        <v>ALTER TABLE milscm_2023_009.sny_202310_backup_text_mml_mmlre_body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milscm_2023_009.sny_202310_backup_text_mml_mmlre_body</v>
      </c>
      <c r="O11" s="76"/>
      <c r="P11" s="76"/>
      <c r="Q11" s="76"/>
      <c r="R11" s="76"/>
      <c r="S11" s="76"/>
      <c r="T11" s="76"/>
      <c r="AJ11" s="76" t="str">
        <f>"ADD CONSTRAINT "&amp;D$8&amp;"_pkey PRIMARY KEY"</f>
        <v>ADD CONSTRAINT sny_202310_backup_text_mml_mmlre_body_pkey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2785</v>
      </c>
      <c r="D14" s="6" t="s">
        <v>2786</v>
      </c>
      <c r="E14" s="8" t="s">
        <v>127</v>
      </c>
      <c r="F14" s="7" t="s">
        <v>2784</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3012</v>
      </c>
      <c r="D18" s="6" t="s">
        <v>3013</v>
      </c>
      <c r="E18" s="8"/>
      <c r="F18" s="7" t="s">
        <v>1823</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3014</v>
      </c>
      <c r="D19" s="6" t="s">
        <v>3015</v>
      </c>
      <c r="E19" s="8"/>
      <c r="F19" s="7" t="s">
        <v>737</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3016</v>
      </c>
      <c r="D20" s="6" t="s">
        <v>2939</v>
      </c>
      <c r="E20" s="8"/>
      <c r="F20" s="7" t="s">
        <v>737</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3017</v>
      </c>
      <c r="D21" s="6" t="s">
        <v>3018</v>
      </c>
      <c r="E21" s="8"/>
      <c r="F21" s="7" t="s">
        <v>737</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1447</v>
      </c>
      <c r="D22" s="6" t="s">
        <v>1448</v>
      </c>
      <c r="E22" s="8"/>
      <c r="F22" s="7" t="s">
        <v>737</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1323</v>
      </c>
      <c r="D23" s="6" t="s">
        <v>3019</v>
      </c>
      <c r="E23" s="8"/>
      <c r="F23" s="7" t="s">
        <v>737</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3020</v>
      </c>
      <c r="D24" s="6" t="s">
        <v>3021</v>
      </c>
      <c r="E24" s="8"/>
      <c r="F24" s="7" t="s">
        <v>737</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3022</v>
      </c>
      <c r="D25" s="6" t="s">
        <v>3023</v>
      </c>
      <c r="E25" s="8"/>
      <c r="F25" s="7" t="s">
        <v>737</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3024</v>
      </c>
      <c r="D26" s="6" t="s">
        <v>3025</v>
      </c>
      <c r="E26" s="8"/>
      <c r="F26" s="7" t="s">
        <v>737</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3026</v>
      </c>
      <c r="D27" s="6" t="s">
        <v>3027</v>
      </c>
      <c r="E27" s="8"/>
      <c r="F27" s="7" t="s">
        <v>737</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3028</v>
      </c>
      <c r="D28" s="6" t="s">
        <v>3029</v>
      </c>
      <c r="E28" s="8"/>
      <c r="F28" s="7" t="s">
        <v>737</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3030</v>
      </c>
      <c r="D29" s="6" t="s">
        <v>3031</v>
      </c>
      <c r="E29" s="8"/>
      <c r="F29" s="7" t="s">
        <v>737</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2046</v>
      </c>
      <c r="D30" s="6" t="s">
        <v>3032</v>
      </c>
      <c r="E30" s="8"/>
      <c r="F30" s="7" t="s">
        <v>737</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milscm_2023_009.sny_202310_backup_text_mml_mmlre_body.remarks IS '備考';</v>
      </c>
    </row>
    <row r="31" spans="1:45" s="25" customFormat="1">
      <c r="A31" s="4"/>
      <c r="B31" s="21">
        <f t="shared" si="2"/>
        <v>19</v>
      </c>
      <c r="C31" s="6" t="s">
        <v>1509</v>
      </c>
      <c r="D31" s="6" t="s">
        <v>3033</v>
      </c>
      <c r="E31" s="8"/>
      <c r="F31" s="7" t="s">
        <v>737</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milscm_2023_009.sny_202310_backup_text_mml_mmlre_body.refer_to_facility_name IS '紹介先施設';</v>
      </c>
    </row>
    <row r="32" spans="1:45" s="25" customFormat="1" ht="31.5">
      <c r="A32" s="4"/>
      <c r="B32" s="21">
        <f t="shared" si="2"/>
        <v>20</v>
      </c>
      <c r="C32" s="6" t="s">
        <v>3034</v>
      </c>
      <c r="D32" s="6" t="s">
        <v>3035</v>
      </c>
      <c r="E32" s="8"/>
      <c r="F32" s="7" t="s">
        <v>737</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milscm_2023_009.sny_202310_backup_text_mml_mmlre_body.refer_to_facility_name_department_name IS '診療科名称';</v>
      </c>
    </row>
    <row r="33" spans="1:52" s="25" customFormat="1" ht="31.5">
      <c r="A33" s="4"/>
      <c r="B33" s="21">
        <f t="shared" si="2"/>
        <v>21</v>
      </c>
      <c r="C33" s="6" t="s">
        <v>3036</v>
      </c>
      <c r="D33" s="6" t="s">
        <v>3037</v>
      </c>
      <c r="E33" s="8"/>
      <c r="F33" s="7" t="s">
        <v>737</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milscm_2023_009.sny_202310_backup_text_mml_mmlre_body.refer_to_person_facility_name IS '紹介先医師名の施設';</v>
      </c>
    </row>
    <row r="34" spans="1:52" s="25" customFormat="1" ht="19.5" thickBot="1">
      <c r="A34" s="4"/>
      <c r="B34" s="27">
        <f>ROW()-12</f>
        <v>22</v>
      </c>
      <c r="C34" s="57" t="s">
        <v>3038</v>
      </c>
      <c r="D34" s="57" t="s">
        <v>3039</v>
      </c>
      <c r="E34" s="56"/>
      <c r="F34" s="56" t="s">
        <v>737</v>
      </c>
      <c r="G34" s="56" t="str">
        <f t="shared" si="3"/>
        <v>text</v>
      </c>
      <c r="H34" s="59"/>
      <c r="I34" s="60"/>
      <c r="J34" s="64"/>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ENT_01_A6-54</v>
      </c>
      <c r="E6" s="240"/>
      <c r="F6" s="240"/>
      <c r="G6" s="240"/>
      <c r="H6" s="240"/>
      <c r="I6" s="240"/>
      <c r="J6" s="241"/>
    </row>
    <row r="7" spans="1:45">
      <c r="B7" s="229" t="s">
        <v>115</v>
      </c>
      <c r="C7" s="230"/>
      <c r="D7" s="231" t="s">
        <v>3040</v>
      </c>
      <c r="E7" s="232"/>
      <c r="F7" s="232"/>
      <c r="G7" s="232"/>
      <c r="H7" s="232"/>
      <c r="I7" s="232"/>
      <c r="J7" s="233"/>
    </row>
    <row r="8" spans="1:45">
      <c r="B8" s="229" t="s">
        <v>116</v>
      </c>
      <c r="C8" s="230"/>
      <c r="D8" s="231" t="str">
        <f>エンティティ一覧!AE2&amp;"_"&amp;D5&amp;"_text_mml_mmlre_inj"</f>
        <v>sny_202310_backup_text_mml_mmlre_inj</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milscm_2023_009.sny_202310_backup_text_mml_mmlre_inj;</v>
      </c>
      <c r="O10" s="76"/>
      <c r="P10" s="76"/>
      <c r="Q10" s="76"/>
      <c r="R10" s="76"/>
      <c r="S10" s="76"/>
      <c r="T10" s="76"/>
      <c r="AJ10" s="76" t="str">
        <f>"ALTER TABLE ONLY "&amp;エンティティ一覧!$O$2&amp;"."&amp;D$8</f>
        <v>ALTER TABLE ONLY milscm_2023_009.sny_202310_backup_text_mml_mmlre_inj</v>
      </c>
      <c r="AS10" s="76" t="str">
        <f>"ALTER TABLE "&amp;エンティティ一覧!$O$2&amp;"."&amp;D$8&amp;" OWNER TO pgmisgrp1;"</f>
        <v>ALTER TABLE milscm_2023_009.sny_202310_backup_text_mml_mmlre_inj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v>
      </c>
      <c r="O11" s="76"/>
      <c r="P11" s="76"/>
      <c r="Q11" s="76"/>
      <c r="R11" s="76"/>
      <c r="S11" s="76"/>
      <c r="T11" s="76"/>
      <c r="AJ11" s="76" t="str">
        <f>"ADD CONSTRAINT "&amp;D$8&amp;"_pkey PRIMARY KEY"</f>
        <v>ADD CONSTRAINT sny_202310_backup_text_mml_mmlre_inj_pkey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2785</v>
      </c>
      <c r="D14" s="6" t="s">
        <v>2786</v>
      </c>
      <c r="E14" s="8" t="s">
        <v>127</v>
      </c>
      <c r="F14" s="7" t="s">
        <v>2784</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milscm_2023_009.sny_202310_backup_text_mml_mmlre_inj.master_id IS '患者ID';</v>
      </c>
    </row>
    <row r="18" spans="1:52" s="25" customFormat="1" ht="31.5">
      <c r="A18" s="4"/>
      <c r="B18" s="21">
        <f t="shared" si="2"/>
        <v>6</v>
      </c>
      <c r="C18" s="6" t="s">
        <v>2816</v>
      </c>
      <c r="D18" s="6" t="s">
        <v>2817</v>
      </c>
      <c r="E18" s="8"/>
      <c r="F18" s="7" t="s">
        <v>1823</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milscm_2023_009.sny_202310_backup_text_mml_mmlre_inj.narcotic_prescription_license_no IS '麻薬施用者番号';</v>
      </c>
    </row>
    <row r="19" spans="1:52" s="25" customFormat="1" ht="19.5" thickBot="1">
      <c r="A19" s="4"/>
      <c r="B19" s="27">
        <f>ROW()-12</f>
        <v>7</v>
      </c>
      <c r="C19" s="57" t="s">
        <v>2818</v>
      </c>
      <c r="D19" s="57" t="s">
        <v>2819</v>
      </c>
      <c r="E19" s="56"/>
      <c r="F19" s="56" t="s">
        <v>1823</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ENT_01_A6-55</v>
      </c>
      <c r="E6" s="240"/>
      <c r="F6" s="240"/>
      <c r="G6" s="240"/>
      <c r="H6" s="240"/>
      <c r="I6" s="240"/>
      <c r="J6" s="241"/>
    </row>
    <row r="7" spans="1:45">
      <c r="B7" s="229" t="s">
        <v>115</v>
      </c>
      <c r="C7" s="230"/>
      <c r="D7" s="231" t="s">
        <v>3041</v>
      </c>
      <c r="E7" s="232"/>
      <c r="F7" s="232"/>
      <c r="G7" s="232"/>
      <c r="H7" s="232"/>
      <c r="I7" s="232"/>
      <c r="J7" s="233"/>
    </row>
    <row r="8" spans="1:45">
      <c r="B8" s="229" t="s">
        <v>116</v>
      </c>
      <c r="C8" s="230"/>
      <c r="D8" s="231" t="str">
        <f>エンティティ一覧!AE2&amp;"_"&amp;D5&amp;"_text_mml_mmlre_inj_medication"</f>
        <v>sny_202310_backup_text_mml_mmlre_inj_medication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milscm_2023_009.sny_202310_backup_text_mml_mmlre_inj_medication;</v>
      </c>
      <c r="O10" s="76"/>
      <c r="P10" s="76"/>
      <c r="Q10" s="76"/>
      <c r="R10" s="76"/>
      <c r="S10" s="76"/>
      <c r="T10" s="76"/>
      <c r="AJ10" s="76" t="str">
        <f>"ALTER TABLE ONLY "&amp;エンティティ一覧!$O$2&amp;"."&amp;D$8</f>
        <v>ALTER TABLE ONLY milscm_2023_009.sny_202310_backup_text_mml_mmlre_inj_medication</v>
      </c>
      <c r="AS10" s="76" t="str">
        <f>"ALTER TABLE "&amp;エンティティ一覧!$O$2&amp;"."&amp;D$8&amp;" OWNER TO pgmisgrp1;"</f>
        <v>ALTER TABLE milscm_2023_009.sny_202310_backup_text_mml_mmlre_inj_medication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milscm_2023_009.sny_202310_backup_text_mml_mmlre_inj_medication</v>
      </c>
      <c r="O11" s="76"/>
      <c r="P11" s="76"/>
      <c r="Q11" s="76"/>
      <c r="R11" s="76"/>
      <c r="S11" s="76"/>
      <c r="T11" s="76"/>
      <c r="AJ11" s="76" t="str">
        <f>"ADD CONSTRAINT "&amp;D$8&amp;"_pkey PRIMARY KEY"</f>
        <v>ADD CONSTRAINT sny_202310_backup_text_mml_mmlre_inj_medication_pkey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2822</v>
      </c>
      <c r="D18" s="6" t="s">
        <v>2823</v>
      </c>
      <c r="E18" s="8" t="s">
        <v>127</v>
      </c>
      <c r="F18" s="7" t="s">
        <v>2784</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2824</v>
      </c>
      <c r="D19" s="6" t="s">
        <v>2825</v>
      </c>
      <c r="E19" s="8"/>
      <c r="F19" s="7" t="s">
        <v>1823</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3042</v>
      </c>
      <c r="D22" s="6" t="s">
        <v>2864</v>
      </c>
      <c r="E22" s="8"/>
      <c r="F22" s="7" t="s">
        <v>1823</v>
      </c>
      <c r="G22" s="7" t="str">
        <f t="shared" si="7"/>
        <v>text</v>
      </c>
      <c r="H22" s="26"/>
      <c r="I22" s="10"/>
      <c r="J22" s="11" t="s">
        <v>2796</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3043</v>
      </c>
      <c r="D23" s="6" t="s">
        <v>2866</v>
      </c>
      <c r="E23" s="8"/>
      <c r="F23" s="7" t="s">
        <v>1823</v>
      </c>
      <c r="G23" s="7" t="str">
        <f t="shared" si="7"/>
        <v>text</v>
      </c>
      <c r="H23" s="26"/>
      <c r="I23" s="10"/>
      <c r="J23" s="11" t="s">
        <v>2796</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2835</v>
      </c>
      <c r="D24" s="6" t="s">
        <v>2836</v>
      </c>
      <c r="E24" s="8"/>
      <c r="F24" s="7" t="s">
        <v>1823</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2841</v>
      </c>
      <c r="D25" s="6" t="s">
        <v>2842</v>
      </c>
      <c r="E25" s="8"/>
      <c r="F25" s="7" t="s">
        <v>1823</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2867</v>
      </c>
      <c r="D26" s="6" t="s">
        <v>2868</v>
      </c>
      <c r="E26" s="8"/>
      <c r="F26" s="7" t="s">
        <v>1823</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2869</v>
      </c>
      <c r="D27" s="6" t="s">
        <v>2870</v>
      </c>
      <c r="E27" s="8"/>
      <c r="F27" s="7" t="s">
        <v>1823</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2845</v>
      </c>
      <c r="D28" s="6" t="s">
        <v>2846</v>
      </c>
      <c r="E28" s="8"/>
      <c r="F28" s="7" t="s">
        <v>1823</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milscm_2023_009.sny_202310_backup_text_mml_mmlre_inj_medication.batch_no IS '処方番号';</v>
      </c>
    </row>
    <row r="29" spans="1:52" s="25" customFormat="1" ht="19.5" thickBot="1">
      <c r="A29" s="4"/>
      <c r="B29" s="27">
        <f>ROW()-12</f>
        <v>17</v>
      </c>
      <c r="C29" s="57" t="s">
        <v>2851</v>
      </c>
      <c r="D29" s="57" t="s">
        <v>2852</v>
      </c>
      <c r="E29" s="56"/>
      <c r="F29" s="56" t="s">
        <v>1823</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ENT_01_A6-56</v>
      </c>
      <c r="E6" s="240"/>
      <c r="F6" s="240"/>
      <c r="G6" s="240"/>
      <c r="H6" s="240"/>
      <c r="I6" s="240"/>
      <c r="J6" s="241"/>
    </row>
    <row r="7" spans="1:45">
      <c r="B7" s="229" t="s">
        <v>115</v>
      </c>
      <c r="C7" s="230"/>
      <c r="D7" s="231" t="s">
        <v>3044</v>
      </c>
      <c r="E7" s="232"/>
      <c r="F7" s="232"/>
      <c r="G7" s="232"/>
      <c r="H7" s="232"/>
      <c r="I7" s="232"/>
      <c r="J7" s="233"/>
    </row>
    <row r="8" spans="1:45">
      <c r="B8" s="229" t="s">
        <v>116</v>
      </c>
      <c r="C8" s="230"/>
      <c r="D8" s="231" t="str">
        <f>エンティティ一覧!AE2&amp;"_"&amp;D5&amp;"_text_mml_mmlre_inj_medicine"</f>
        <v>sny_202310_backup_text_mml_mmlre_inj_medicine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milscm_2023_009.sny_202310_backup_text_mml_mmlre_inj_medicine;</v>
      </c>
      <c r="O10" s="76"/>
      <c r="P10" s="76"/>
      <c r="Q10" s="76"/>
      <c r="R10" s="76"/>
      <c r="S10" s="76"/>
      <c r="T10" s="76"/>
      <c r="AJ10" s="76" t="str">
        <f>"ALTER TABLE ONLY "&amp;エンティティ一覧!$O$2&amp;"."&amp;D$8</f>
        <v>ALTER TABLE ONLY milscm_2023_009.sny_202310_backup_text_mml_mmlre_inj_medicine</v>
      </c>
      <c r="AS10" s="76" t="str">
        <f>"ALTER TABLE "&amp;エンティティ一覧!$O$2&amp;"."&amp;D$8&amp;" OWNER TO pgmisgrp1;"</f>
        <v>ALTER TABLE milscm_2023_009.sny_202310_backup_text_mml_mmlre_inj_medicine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milscm_2023_009.sny_202310_backup_text_mml_mmlre_inj_medicine</v>
      </c>
      <c r="O11" s="76"/>
      <c r="P11" s="76"/>
      <c r="Q11" s="76"/>
      <c r="R11" s="76"/>
      <c r="S11" s="76"/>
      <c r="T11" s="76"/>
      <c r="AJ11" s="76" t="str">
        <f>"ADD CONSTRAINT "&amp;D$8&amp;"_pkey PRIMARY KEY"</f>
        <v>ADD CONSTRAINT sny_202310_backup_text_mml_mmlre_inj_medicine_pkey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milscm_2023_009.sny_202310_backup_text_mml_mmlre_inj_medicine.code IS '薬剤コード';</v>
      </c>
    </row>
    <row r="21" spans="1:52" s="25" customFormat="1" ht="19.5"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ENT_01_A6-57</v>
      </c>
      <c r="E6" s="240"/>
      <c r="F6" s="240"/>
      <c r="G6" s="240"/>
      <c r="H6" s="240"/>
      <c r="I6" s="240"/>
      <c r="J6" s="241"/>
    </row>
    <row r="7" spans="1:45">
      <c r="B7" s="229" t="s">
        <v>115</v>
      </c>
      <c r="C7" s="230"/>
      <c r="D7" s="231" t="s">
        <v>3045</v>
      </c>
      <c r="E7" s="232"/>
      <c r="F7" s="232"/>
      <c r="G7" s="232"/>
      <c r="H7" s="232"/>
      <c r="I7" s="232"/>
      <c r="J7" s="233"/>
    </row>
    <row r="8" spans="1:45">
      <c r="B8" s="229" t="s">
        <v>116</v>
      </c>
      <c r="C8" s="230"/>
      <c r="D8" s="231" t="str">
        <f>エンティティ一覧!AE2&amp;"_"&amp;D5&amp;"_text_mml_mmlre_pi"</f>
        <v>sny_202310_backup_text_mml_mmlre_pi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milscm_2023_009.sny_202310_backup_text_mml_mmlre_pi;</v>
      </c>
      <c r="O10" s="76"/>
      <c r="P10" s="76"/>
      <c r="Q10" s="76"/>
      <c r="R10" s="76"/>
      <c r="S10" s="76"/>
      <c r="T10" s="76"/>
      <c r="AJ10" s="76" t="str">
        <f>"ALTER TABLE ONLY "&amp;エンティティ一覧!$O$2&amp;"."&amp;D$8</f>
        <v>ALTER TABLE ONLY milscm_2023_009.sny_202310_backup_text_mml_mmlre_pi</v>
      </c>
      <c r="AS10" s="76" t="str">
        <f>"ALTER TABLE "&amp;エンティティ一覧!$O$2&amp;"."&amp;D$8&amp;" OWNER TO pgmisgrp1;"</f>
        <v>ALTER TABLE milscm_2023_009.sny_202310_backup_text_mml_mmlre_pi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milscm_2023_009.sny_202310_backup_text_mml_mmlre_pi</v>
      </c>
      <c r="O11" s="76"/>
      <c r="P11" s="76"/>
      <c r="Q11" s="76"/>
      <c r="R11" s="76"/>
      <c r="S11" s="76"/>
      <c r="T11" s="76"/>
      <c r="AJ11" s="76" t="str">
        <f>"ADD CONSTRAINT "&amp;D$8&amp;"_pkey PRIMARY KEY"</f>
        <v>ADD CONSTRAINT sny_202310_backup_text_mml_mmlre_pi_pkey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milscm_2023_009.sny_202310_backup_text_mml_mmlre_pi.master_id IS '患者ID';</v>
      </c>
    </row>
    <row r="18" spans="1:52" s="25" customFormat="1">
      <c r="A18" s="4"/>
      <c r="B18" s="21">
        <f t="shared" si="2"/>
        <v>6</v>
      </c>
      <c r="C18" s="6" t="s">
        <v>567</v>
      </c>
      <c r="D18" s="6" t="s">
        <v>322</v>
      </c>
      <c r="E18" s="8"/>
      <c r="F18" s="7" t="s">
        <v>1823</v>
      </c>
      <c r="G18" s="7" t="str">
        <f t="shared" si="3"/>
        <v>text</v>
      </c>
      <c r="H18" s="26"/>
      <c r="I18" s="10"/>
      <c r="J18" s="11" t="s">
        <v>2853</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milscm_2023_009.sny_202310_backup_text_mml_mmlre_pi.birthday IS '生年月日';</v>
      </c>
    </row>
    <row r="19" spans="1:52" s="25" customFormat="1" ht="75">
      <c r="A19" s="4"/>
      <c r="B19" s="21">
        <f t="shared" si="2"/>
        <v>7</v>
      </c>
      <c r="C19" s="6" t="s">
        <v>569</v>
      </c>
      <c r="D19" s="6" t="s">
        <v>1263</v>
      </c>
      <c r="E19" s="8"/>
      <c r="F19" s="7" t="s">
        <v>1823</v>
      </c>
      <c r="G19" s="7" t="str">
        <f t="shared" si="3"/>
        <v>text</v>
      </c>
      <c r="H19" s="26"/>
      <c r="I19" s="10"/>
      <c r="J19" s="11" t="s">
        <v>3053</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milscm_2023_009.sny_202310_backup_text_mml_mmlre_pi.sex IS '性別';</v>
      </c>
    </row>
    <row r="20" spans="1:52" s="25" customFormat="1">
      <c r="A20" s="4"/>
      <c r="B20" s="21">
        <f t="shared" si="2"/>
        <v>8</v>
      </c>
      <c r="C20" s="6" t="s">
        <v>1264</v>
      </c>
      <c r="D20" s="6" t="s">
        <v>3046</v>
      </c>
      <c r="E20" s="8"/>
      <c r="F20" s="7" t="s">
        <v>1823</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1266</v>
      </c>
      <c r="D21" s="6" t="s">
        <v>3047</v>
      </c>
      <c r="E21" s="8"/>
      <c r="F21" s="7" t="s">
        <v>1823</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3048</v>
      </c>
      <c r="D22" s="6" t="s">
        <v>1269</v>
      </c>
      <c r="E22" s="8"/>
      <c r="F22" s="7" t="s">
        <v>1823</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milscm_2023_009.sny_202310_backup_text_mml_mmlre_pi.race IS '人種';</v>
      </c>
    </row>
    <row r="23" spans="1:52" s="25" customFormat="1">
      <c r="A23" s="4"/>
      <c r="B23" s="21">
        <f t="shared" si="2"/>
        <v>11</v>
      </c>
      <c r="C23" s="6" t="s">
        <v>3049</v>
      </c>
      <c r="D23" s="6" t="s">
        <v>1271</v>
      </c>
      <c r="E23" s="8"/>
      <c r="F23" s="7" t="s">
        <v>1823</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3050</v>
      </c>
      <c r="D24" s="6" t="s">
        <v>1273</v>
      </c>
      <c r="E24" s="8"/>
      <c r="F24" s="7" t="s">
        <v>1823</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1274</v>
      </c>
      <c r="D25" s="6" t="s">
        <v>1275</v>
      </c>
      <c r="E25" s="8"/>
      <c r="F25" s="7" t="s">
        <v>1823</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1276</v>
      </c>
      <c r="D26" s="6" t="s">
        <v>1277</v>
      </c>
      <c r="E26" s="8"/>
      <c r="F26" s="7" t="s">
        <v>1823</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1278</v>
      </c>
      <c r="D27" s="6" t="s">
        <v>3051</v>
      </c>
      <c r="E27" s="8"/>
      <c r="F27" s="7" t="s">
        <v>1823</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milscm_2023_009.sny_202310_backup_text_mml_mmlre_pi.social_identification IS '社会番号';</v>
      </c>
    </row>
    <row r="28" spans="1:52" s="25" customFormat="1" ht="37.5">
      <c r="A28" s="4"/>
      <c r="B28" s="21">
        <f t="shared" si="2"/>
        <v>16</v>
      </c>
      <c r="C28" s="6" t="s">
        <v>1280</v>
      </c>
      <c r="D28" s="6" t="s">
        <v>3052</v>
      </c>
      <c r="E28" s="8"/>
      <c r="F28" s="7" t="s">
        <v>1823</v>
      </c>
      <c r="G28" s="7" t="str">
        <f t="shared" si="3"/>
        <v>text</v>
      </c>
      <c r="H28" s="26"/>
      <c r="I28" s="10"/>
      <c r="J28" s="11" t="s">
        <v>3054</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milscm_2023_009.sny_202310_backup_text_mml_mmlre_pi.death IS '死亡フラグ';</v>
      </c>
    </row>
    <row r="29" spans="1:52" s="25" customFormat="1" ht="19.5" thickBot="1">
      <c r="A29" s="4"/>
      <c r="B29" s="27">
        <f>ROW()-12</f>
        <v>17</v>
      </c>
      <c r="C29" s="57" t="s">
        <v>1282</v>
      </c>
      <c r="D29" s="57" t="s">
        <v>1283</v>
      </c>
      <c r="E29" s="56"/>
      <c r="F29" s="56" t="s">
        <v>1823</v>
      </c>
      <c r="G29" s="56" t="str">
        <f t="shared" si="3"/>
        <v>text</v>
      </c>
      <c r="H29" s="59"/>
      <c r="I29" s="60"/>
      <c r="J29" s="64" t="s">
        <v>2796</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ENT_01_A6-58</v>
      </c>
      <c r="E6" s="240"/>
      <c r="F6" s="240"/>
      <c r="G6" s="240"/>
      <c r="H6" s="240"/>
      <c r="I6" s="240"/>
      <c r="J6" s="241"/>
    </row>
    <row r="7" spans="1:45">
      <c r="B7" s="229" t="s">
        <v>115</v>
      </c>
      <c r="C7" s="230"/>
      <c r="D7" s="231" t="s">
        <v>3055</v>
      </c>
      <c r="E7" s="232"/>
      <c r="F7" s="232"/>
      <c r="G7" s="232"/>
      <c r="H7" s="232"/>
      <c r="I7" s="232"/>
      <c r="J7" s="233"/>
    </row>
    <row r="8" spans="1:45">
      <c r="B8" s="229" t="s">
        <v>116</v>
      </c>
      <c r="C8" s="230"/>
      <c r="D8" s="231" t="str">
        <f>エンティティ一覧!AE2&amp;"_"&amp;D5&amp;"_text_mml_mmlre_pi_address"</f>
        <v>sny_202310_backup_text_mml_mmlre_pi_address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milscm_2023_009.sny_202310_backup_text_mml_mmlre_pi_address;</v>
      </c>
      <c r="O10" s="76"/>
      <c r="P10" s="76"/>
      <c r="Q10" s="76"/>
      <c r="R10" s="76"/>
      <c r="S10" s="76"/>
      <c r="T10" s="76"/>
      <c r="AJ10" s="76" t="str">
        <f>"ALTER TABLE ONLY "&amp;エンティティ一覧!$O$2&amp;"."&amp;D$8</f>
        <v>ALTER TABLE ONLY milscm_2023_009.sny_202310_backup_text_mml_mmlre_pi_address</v>
      </c>
      <c r="AS10" s="76" t="str">
        <f>"ALTER TABLE "&amp;エンティティ一覧!$O$2&amp;"."&amp;D$8&amp;" OWNER TO pgmisgrp1;"</f>
        <v>ALTER TABLE milscm_2023_009.sny_202310_backup_text_mml_mmlre_pi_address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milscm_2023_009.sny_202310_backup_text_mml_mmlre_pi_address</v>
      </c>
      <c r="O11" s="76"/>
      <c r="P11" s="76"/>
      <c r="Q11" s="76"/>
      <c r="R11" s="76"/>
      <c r="S11" s="76"/>
      <c r="T11" s="76"/>
      <c r="AJ11" s="76" t="str">
        <f>"ADD CONSTRAINT "&amp;D$8&amp;"_pkey PRIMARY KEY"</f>
        <v>ADD CONSTRAINT sny_202310_backup_text_mml_mmlre_pi_address_pkey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2785</v>
      </c>
      <c r="D14" s="6" t="s">
        <v>2786</v>
      </c>
      <c r="E14" s="8" t="s">
        <v>127</v>
      </c>
      <c r="F14" s="7" t="s">
        <v>2784</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3056</v>
      </c>
      <c r="D18" s="6" t="s">
        <v>3057</v>
      </c>
      <c r="E18" s="8" t="s">
        <v>127</v>
      </c>
      <c r="F18" s="7" t="s">
        <v>2784</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3058</v>
      </c>
      <c r="D19" s="6" t="s">
        <v>3059</v>
      </c>
      <c r="E19" s="8"/>
      <c r="F19" s="7" t="s">
        <v>1823</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3060</v>
      </c>
      <c r="D20" s="6" t="s">
        <v>3061</v>
      </c>
      <c r="E20" s="8"/>
      <c r="F20" s="7" t="s">
        <v>1823</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2812</v>
      </c>
      <c r="E21" s="8"/>
      <c r="F21" s="7" t="s">
        <v>1823</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3062</v>
      </c>
      <c r="D22" s="6" t="s">
        <v>3063</v>
      </c>
      <c r="E22" s="8"/>
      <c r="F22" s="7" t="s">
        <v>1823</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918</v>
      </c>
      <c r="D23" s="6" t="s">
        <v>919</v>
      </c>
      <c r="E23" s="8"/>
      <c r="F23" s="7" t="s">
        <v>1823</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3064</v>
      </c>
      <c r="D24" s="6" t="s">
        <v>1904</v>
      </c>
      <c r="E24" s="8"/>
      <c r="F24" s="7" t="s">
        <v>1823</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3065</v>
      </c>
      <c r="D25" s="6" t="s">
        <v>3066</v>
      </c>
      <c r="E25" s="8"/>
      <c r="F25" s="7" t="s">
        <v>1823</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3067</v>
      </c>
      <c r="D26" s="6" t="s">
        <v>3068</v>
      </c>
      <c r="E26" s="8"/>
      <c r="F26" s="7" t="s">
        <v>1823</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3069</v>
      </c>
      <c r="D27" s="6" t="s">
        <v>3070</v>
      </c>
      <c r="E27" s="8"/>
      <c r="F27" s="7" t="s">
        <v>1823</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milscm_2023_009.sny_202310_backup_text_mml_mmlre_pi_address.zip IS '郵便番号';</v>
      </c>
    </row>
    <row r="28" spans="1:52" s="25" customFormat="1" ht="35.450000000000003" customHeight="1" thickBot="1">
      <c r="A28" s="4"/>
      <c r="B28" s="27">
        <f>ROW()-12</f>
        <v>16</v>
      </c>
      <c r="C28" s="57" t="s">
        <v>3071</v>
      </c>
      <c r="D28" s="57" t="s">
        <v>3072</v>
      </c>
      <c r="E28" s="56"/>
      <c r="F28" s="56" t="s">
        <v>1823</v>
      </c>
      <c r="G28" s="56" t="str">
        <f t="shared" si="3"/>
        <v>text</v>
      </c>
      <c r="H28" s="59"/>
      <c r="I28" s="60"/>
      <c r="J28" s="64"/>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ENT_01_A6-59</v>
      </c>
      <c r="E6" s="240"/>
      <c r="F6" s="240"/>
      <c r="G6" s="240"/>
      <c r="H6" s="240"/>
      <c r="I6" s="240"/>
      <c r="J6" s="241"/>
    </row>
    <row r="7" spans="1:45">
      <c r="B7" s="229" t="s">
        <v>115</v>
      </c>
      <c r="C7" s="230"/>
      <c r="D7" s="231" t="s">
        <v>3073</v>
      </c>
      <c r="E7" s="232"/>
      <c r="F7" s="232"/>
      <c r="G7" s="232"/>
      <c r="H7" s="232"/>
      <c r="I7" s="232"/>
      <c r="J7" s="233"/>
    </row>
    <row r="8" spans="1:45">
      <c r="B8" s="229" t="s">
        <v>116</v>
      </c>
      <c r="C8" s="230"/>
      <c r="D8" s="231" t="str">
        <f>エンティティ一覧!AE2&amp;"_"&amp;D5&amp;"_text_mml_mmlre_ps"</f>
        <v>sny_202310_backup_text_mml_mmlre_ps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milscm_2023_009.sny_202310_backup_text_mml_mmlre_ps;</v>
      </c>
      <c r="O10" s="76"/>
      <c r="P10" s="76"/>
      <c r="Q10" s="76"/>
      <c r="R10" s="76"/>
      <c r="S10" s="76"/>
      <c r="T10" s="76"/>
      <c r="AJ10" s="76" t="str">
        <f>"ALTER TABLE ONLY "&amp;エンティティ一覧!$O$2&amp;"."&amp;D$8</f>
        <v>ALTER TABLE ONLY milscm_2023_009.sny_202310_backup_text_mml_mmlre_ps</v>
      </c>
      <c r="AS10" s="76" t="str">
        <f>"ALTER TABLE "&amp;エンティティ一覧!$O$2&amp;"."&amp;D$8&amp;" OWNER TO pgmisgrp1;"</f>
        <v>ALTER TABLE milscm_2023_009.sny_202310_backup_text_mml_mmlre_ps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v>
      </c>
      <c r="O11" s="76"/>
      <c r="P11" s="76"/>
      <c r="Q11" s="76"/>
      <c r="R11" s="76"/>
      <c r="S11" s="76"/>
      <c r="T11" s="76"/>
      <c r="AJ11" s="76" t="str">
        <f>"ADD CONSTRAINT "&amp;D$8&amp;"_pkey PRIMARY KEY"</f>
        <v>ADD CONSTRAINT sny_202310_backup_text_mml_mmlre_ps_pkey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milscm_2023_009.sny_202310_backup_text_mml_mmlre_ps.master_id IS '患者ID';</v>
      </c>
    </row>
    <row r="18" spans="1:52" s="25" customFormat="1" ht="37.5">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milscm_2023_009.sny_202310_backup_text_mml_mmlre_ps.issued_to IS '院外、院内処方箋の別';</v>
      </c>
    </row>
    <row r="19" spans="1:52" s="25" customFormat="1" ht="31.5">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milscm_2023_009.sny_202310_backup_text_mml_mmlre_ps.narcotic_prescription_license_no IS '麻薬施用者番号';</v>
      </c>
    </row>
    <row r="20" spans="1:52" s="25" customFormat="1" ht="35.450000000000003" customHeight="1" thickBot="1">
      <c r="A20" s="4"/>
      <c r="B20" s="27">
        <f>ROW()-12</f>
        <v>8</v>
      </c>
      <c r="C20" s="57" t="s">
        <v>2818</v>
      </c>
      <c r="D20" s="57" t="s">
        <v>2819</v>
      </c>
      <c r="E20" s="56"/>
      <c r="F20" s="56" t="s">
        <v>1823</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ENT_01_A6-60</v>
      </c>
      <c r="E6" s="240"/>
      <c r="F6" s="240"/>
      <c r="G6" s="240"/>
      <c r="H6" s="240"/>
      <c r="I6" s="240"/>
      <c r="J6" s="241"/>
    </row>
    <row r="7" spans="1:45">
      <c r="B7" s="229" t="s">
        <v>115</v>
      </c>
      <c r="C7" s="230"/>
      <c r="D7" s="231" t="s">
        <v>3074</v>
      </c>
      <c r="E7" s="232"/>
      <c r="F7" s="232"/>
      <c r="G7" s="232"/>
      <c r="H7" s="232"/>
      <c r="I7" s="232"/>
      <c r="J7" s="233"/>
    </row>
    <row r="8" spans="1:45">
      <c r="B8" s="229" t="s">
        <v>116</v>
      </c>
      <c r="C8" s="230"/>
      <c r="D8" s="231" t="str">
        <f>エンティティ一覧!AE2&amp;"_"&amp;D5&amp;"_text_mml_mmlre_ps_medication"</f>
        <v>sny_202310_backup_text_mml_mmlre_ps_medication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milscm_2023_009.sny_202310_backup_text_mml_mmlre_ps_medication;</v>
      </c>
      <c r="O10" s="76"/>
      <c r="P10" s="76"/>
      <c r="Q10" s="76"/>
      <c r="R10" s="76"/>
      <c r="S10" s="76"/>
      <c r="T10" s="76"/>
      <c r="AJ10" s="76" t="str">
        <f>"ALTER TABLE ONLY "&amp;エンティティ一覧!$O$2&amp;"."&amp;D$8</f>
        <v>ALTER TABLE ONLY milscm_2023_009.sny_202310_backup_text_mml_mmlre_ps_medication</v>
      </c>
      <c r="AS10" s="76" t="str">
        <f>"ALTER TABLE "&amp;エンティティ一覧!$O$2&amp;"."&amp;D$8&amp;" OWNER TO pgmisgrp1;"</f>
        <v>ALTER TABLE milscm_2023_009.sny_202310_backup_text_mml_mmlre_ps_medication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milscm_2023_009.sny_202310_backup_text_mml_mmlre_ps_medication</v>
      </c>
      <c r="O11" s="76"/>
      <c r="P11" s="76"/>
      <c r="Q11" s="76"/>
      <c r="R11" s="76"/>
      <c r="S11" s="76"/>
      <c r="T11" s="76"/>
      <c r="AJ11" s="76" t="str">
        <f>"ADD CONSTRAINT "&amp;D$8&amp;"_pkey PRIMARY KEY"</f>
        <v>ADD CONSTRAINT sny_202310_backup_text_mml_mmlre_ps_medication_pkey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2824</v>
      </c>
      <c r="D19" s="6" t="s">
        <v>2825</v>
      </c>
      <c r="E19" s="8"/>
      <c r="F19" s="7" t="s">
        <v>1823</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2830</v>
      </c>
      <c r="D22" s="6" t="s">
        <v>2831</v>
      </c>
      <c r="E22" s="8"/>
      <c r="F22" s="7" t="s">
        <v>1823</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2832</v>
      </c>
      <c r="D23" s="6" t="s">
        <v>2791</v>
      </c>
      <c r="E23" s="8"/>
      <c r="F23" s="7" t="s">
        <v>1823</v>
      </c>
      <c r="G23" s="7" t="str">
        <f t="shared" si="7"/>
        <v>text</v>
      </c>
      <c r="H23" s="26"/>
      <c r="I23" s="10"/>
      <c r="J23" s="11" t="s">
        <v>2853</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2833</v>
      </c>
      <c r="D24" s="6" t="s">
        <v>2834</v>
      </c>
      <c r="E24" s="8"/>
      <c r="F24" s="7" t="s">
        <v>1823</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2835</v>
      </c>
      <c r="D25" s="6" t="s">
        <v>2836</v>
      </c>
      <c r="E25" s="8"/>
      <c r="F25" s="7" t="s">
        <v>1823</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2837</v>
      </c>
      <c r="D26" s="6" t="s">
        <v>2838</v>
      </c>
      <c r="E26" s="8"/>
      <c r="F26" s="7" t="s">
        <v>1823</v>
      </c>
      <c r="G26" s="7" t="str">
        <f t="shared" si="7"/>
        <v>text</v>
      </c>
      <c r="H26" s="26"/>
      <c r="I26" s="10"/>
      <c r="J26" s="11" t="s">
        <v>2854</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2839</v>
      </c>
      <c r="D27" s="6" t="s">
        <v>2840</v>
      </c>
      <c r="E27" s="8"/>
      <c r="F27" s="7" t="s">
        <v>1823</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2841</v>
      </c>
      <c r="D28" s="6" t="s">
        <v>2842</v>
      </c>
      <c r="E28" s="8"/>
      <c r="F28" s="7" t="s">
        <v>1823</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2843</v>
      </c>
      <c r="D29" s="6" t="s">
        <v>2844</v>
      </c>
      <c r="E29" s="8"/>
      <c r="F29" s="7" t="s">
        <v>1823</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2845</v>
      </c>
      <c r="D30" s="6" t="s">
        <v>2846</v>
      </c>
      <c r="E30" s="8"/>
      <c r="F30" s="7" t="s">
        <v>1823</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milscm_2023_009.sny_202310_backup_text_mml_mmlre_ps_medication.batch_no IS '処方番号';</v>
      </c>
    </row>
    <row r="31" spans="1:45" s="25" customFormat="1" ht="37.5">
      <c r="A31" s="4"/>
      <c r="B31" s="21">
        <f t="shared" si="2"/>
        <v>19</v>
      </c>
      <c r="C31" s="6" t="s">
        <v>2847</v>
      </c>
      <c r="D31" s="6" t="s">
        <v>2848</v>
      </c>
      <c r="E31" s="8"/>
      <c r="F31" s="7" t="s">
        <v>1823</v>
      </c>
      <c r="G31" s="7" t="str">
        <f t="shared" si="7"/>
        <v>text</v>
      </c>
      <c r="H31" s="26"/>
      <c r="I31" s="10"/>
      <c r="J31" s="11" t="s">
        <v>2855</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2849</v>
      </c>
      <c r="D32" s="6" t="s">
        <v>2850</v>
      </c>
      <c r="E32" s="8"/>
      <c r="F32" s="7" t="s">
        <v>1823</v>
      </c>
      <c r="G32" s="7" t="str">
        <f t="shared" si="3"/>
        <v>text</v>
      </c>
      <c r="H32" s="26"/>
      <c r="I32" s="10"/>
      <c r="J32" s="11" t="s">
        <v>2856</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milscm_2023_009.sny_202310_backup_text_mml_mmlre_ps_medication.long_term IS '長期処方可';</v>
      </c>
    </row>
    <row r="33" spans="1:52" s="25" customFormat="1" ht="35.450000000000003" customHeight="1" thickBot="1">
      <c r="A33" s="4"/>
      <c r="B33" s="27">
        <f>ROW()-12</f>
        <v>21</v>
      </c>
      <c r="C33" s="57" t="s">
        <v>2851</v>
      </c>
      <c r="D33" s="57" t="s">
        <v>2852</v>
      </c>
      <c r="E33" s="56"/>
      <c r="F33" s="56" t="s">
        <v>1823</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ENT_01_A6-61</v>
      </c>
      <c r="E6" s="240"/>
      <c r="F6" s="240"/>
      <c r="G6" s="240"/>
      <c r="H6" s="240"/>
      <c r="I6" s="240"/>
      <c r="J6" s="241"/>
    </row>
    <row r="7" spans="1:45">
      <c r="B7" s="229" t="s">
        <v>115</v>
      </c>
      <c r="C7" s="230"/>
      <c r="D7" s="231" t="s">
        <v>3075</v>
      </c>
      <c r="E7" s="232"/>
      <c r="F7" s="232"/>
      <c r="G7" s="232"/>
      <c r="H7" s="232"/>
      <c r="I7" s="232"/>
      <c r="J7" s="233"/>
    </row>
    <row r="8" spans="1:45">
      <c r="B8" s="229" t="s">
        <v>116</v>
      </c>
      <c r="C8" s="230"/>
      <c r="D8" s="231" t="str">
        <f>エンティティ一覧!AE2&amp;"_"&amp;D5&amp;"_text_mml_mmlre_ps_medicine"</f>
        <v>sny_202310_backup_text_mml_mmlre_ps_medicine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milscm_2023_009.sny_202310_backup_text_mml_mmlre_ps_medicine;</v>
      </c>
      <c r="O10" s="76"/>
      <c r="P10" s="76"/>
      <c r="Q10" s="76"/>
      <c r="R10" s="76"/>
      <c r="S10" s="76"/>
      <c r="T10" s="76"/>
      <c r="AJ10" s="76" t="str">
        <f>"ALTER TABLE ONLY "&amp;エンティティ一覧!$O$2&amp;"."&amp;D$8</f>
        <v>ALTER TABLE ONLY milscm_2023_009.sny_202310_backup_text_mml_mmlre_ps_medicine</v>
      </c>
      <c r="AS10" s="76" t="str">
        <f>"ALTER TABLE "&amp;エンティティ一覧!$O$2&amp;"."&amp;D$8&amp;" OWNER TO pgmisgrp1;"</f>
        <v>ALTER TABLE milscm_2023_009.sny_202310_backup_text_mml_mmlre_ps_medicine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milscm_2023_009.sny_202310_backup_text_mml_mmlre_ps_medicine</v>
      </c>
      <c r="O11" s="76"/>
      <c r="P11" s="76"/>
      <c r="Q11" s="76"/>
      <c r="R11" s="76"/>
      <c r="S11" s="76"/>
      <c r="T11" s="76"/>
      <c r="AJ11" s="76" t="str">
        <f>"ADD CONSTRAINT "&amp;D$8&amp;"_pkey PRIMARY KEY"</f>
        <v>ADD CONSTRAINT sny_202310_backup_text_mml_mmlre_ps_medicine_pkey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milscm_2023_009.sny_202310_backup_text_mml_mmlre_ps_medicine.code IS '薬剤コード';</v>
      </c>
    </row>
    <row r="21" spans="1:52" s="25" customFormat="1" ht="35.450000000000003" customHeight="1"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ENT_01_A6-62</v>
      </c>
      <c r="E6" s="240"/>
      <c r="F6" s="240"/>
      <c r="G6" s="240"/>
      <c r="H6" s="240"/>
      <c r="I6" s="240"/>
      <c r="J6" s="241"/>
    </row>
    <row r="7" spans="1:45">
      <c r="B7" s="229" t="s">
        <v>115</v>
      </c>
      <c r="C7" s="230"/>
      <c r="D7" s="231" t="s">
        <v>3076</v>
      </c>
      <c r="E7" s="232"/>
      <c r="F7" s="232"/>
      <c r="G7" s="232"/>
      <c r="H7" s="232"/>
      <c r="I7" s="232"/>
      <c r="J7" s="233"/>
    </row>
    <row r="8" spans="1:45">
      <c r="B8" s="229" t="s">
        <v>116</v>
      </c>
      <c r="C8" s="230"/>
      <c r="D8" s="231" t="str">
        <f>エンティティ一覧!AE2&amp;"_"&amp;D5&amp;"_text_mml_mmlre_sm_clinical_record"</f>
        <v>sny_202310_backup_text_mml_mmlre_sm_clinical_record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milscm_2023_009.sny_202310_backup_text_mml_mmlre_sm_clinical_record;</v>
      </c>
      <c r="O10" s="76"/>
      <c r="P10" s="76"/>
      <c r="Q10" s="76"/>
      <c r="R10" s="76"/>
      <c r="S10" s="76"/>
      <c r="T10" s="76"/>
      <c r="AJ10" s="76" t="str">
        <f>"ALTER TABLE ONLY "&amp;エンティティ一覧!$O$2&amp;"."&amp;D$8</f>
        <v>ALTER TABLE ONLY milscm_2023_009.sny_202310_backup_text_mml_mmlre_sm_clinical_record</v>
      </c>
      <c r="AS10" s="76" t="str">
        <f>"ALTER TABLE "&amp;エンティティ一覧!$O$2&amp;"."&amp;D$8&amp;" OWNER TO pgmisgrp1;"</f>
        <v>ALTER TABLE milscm_2023_009.sny_202310_backup_text_mml_mmlre_sm_clinical_record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milscm_2023_009.sny_202310_backup_text_mml_mmlre_sm_clinical_record</v>
      </c>
      <c r="O11" s="76"/>
      <c r="P11" s="76"/>
      <c r="Q11" s="76"/>
      <c r="R11" s="76"/>
      <c r="S11" s="76"/>
      <c r="T11" s="76"/>
      <c r="AJ11" s="76" t="str">
        <f>"ADD CONSTRAINT "&amp;D$8&amp;"_pkey PRIMARY KEY"</f>
        <v>ADD CONSTRAINT sny_202310_backup_text_mml_mmlre_sm_clinical_record_pkey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3077</v>
      </c>
      <c r="D18" s="6" t="s">
        <v>3078</v>
      </c>
      <c r="E18" s="8" t="s">
        <v>127</v>
      </c>
      <c r="F18" s="7" t="s">
        <v>2784</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1522</v>
      </c>
      <c r="D19" s="6" t="s">
        <v>3079</v>
      </c>
      <c r="E19" s="8"/>
      <c r="F19" s="7" t="s">
        <v>1823</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1524</v>
      </c>
      <c r="D20" s="6" t="s">
        <v>3080</v>
      </c>
      <c r="E20" s="8"/>
      <c r="F20" s="7" t="s">
        <v>1823</v>
      </c>
      <c r="G20" s="7" t="str">
        <f t="shared" ref="G20" si="7">IF(F20="フラグ","boolean",IF(F20="文字列","text",IF(F20="整数","integer",IF(F20="実数","numeric",""))))</f>
        <v>text</v>
      </c>
      <c r="H20" s="26"/>
      <c r="I20" s="10"/>
      <c r="J20" s="11" t="s">
        <v>2796</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3081</v>
      </c>
      <c r="D21" s="6" t="s">
        <v>3082</v>
      </c>
      <c r="E21" s="8"/>
      <c r="F21" s="7" t="s">
        <v>1823</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milscm_2023_009.sny_202310_backup_text_mml_mmlre_sm_clinical_record.related_doc IS '関連文書';</v>
      </c>
    </row>
    <row r="22" spans="1:52" s="25" customFormat="1" ht="19.5" thickBot="1">
      <c r="A22" s="4"/>
      <c r="B22" s="27">
        <f>ROW()-12</f>
        <v>10</v>
      </c>
      <c r="C22" s="57" t="s">
        <v>3083</v>
      </c>
      <c r="D22" s="57" t="s">
        <v>3084</v>
      </c>
      <c r="E22" s="56"/>
      <c r="F22" s="56" t="s">
        <v>1823</v>
      </c>
      <c r="G22" s="56" t="str">
        <f t="shared" si="3"/>
        <v>text</v>
      </c>
      <c r="H22" s="59"/>
      <c r="I22" s="60"/>
      <c r="J22" s="64"/>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ENT_01_A6-63</v>
      </c>
      <c r="E6" s="240"/>
      <c r="F6" s="240"/>
      <c r="G6" s="240"/>
      <c r="H6" s="240"/>
      <c r="I6" s="240"/>
      <c r="J6" s="241"/>
    </row>
    <row r="7" spans="1:45">
      <c r="B7" s="229" t="s">
        <v>115</v>
      </c>
      <c r="C7" s="230"/>
      <c r="D7" s="231" t="s">
        <v>3087</v>
      </c>
      <c r="E7" s="232"/>
      <c r="F7" s="232"/>
      <c r="G7" s="232"/>
      <c r="H7" s="232"/>
      <c r="I7" s="232"/>
      <c r="J7" s="233"/>
    </row>
    <row r="8" spans="1:45">
      <c r="B8" s="229" t="s">
        <v>116</v>
      </c>
      <c r="C8" s="230"/>
      <c r="D8" s="231" t="str">
        <f>エンティティ一覧!AE2&amp;"_"&amp;D5&amp;"_text_mml_mmlre_dp"</f>
        <v>sny_202310_backup_text_mml_mmlre_dp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milscm_2023_009.sny_202310_backup_text_mml_mmlre_dp;</v>
      </c>
      <c r="O10" s="76"/>
      <c r="P10" s="76"/>
      <c r="Q10" s="76"/>
      <c r="R10" s="76"/>
      <c r="S10" s="76"/>
      <c r="T10" s="76"/>
      <c r="AJ10" s="76" t="str">
        <f>"ALTER TABLE ONLY "&amp;エンティティ一覧!$O$2&amp;"."&amp;D$8</f>
        <v>ALTER TABLE ONLY milscm_2023_009.sny_202310_backup_text_mml_mmlre_dp</v>
      </c>
      <c r="AS10" s="76" t="str">
        <f>"ALTER TABLE "&amp;エンティティ一覧!$O$2&amp;"."&amp;D$8&amp;" OWNER TO pgmisgrp1;"</f>
        <v>ALTER TABLE milscm_2023_009.sny_202310_backup_text_mml_mmlre_dp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milscm_2023_009.sny_202310_backup_text_mml_mmlre_dp</v>
      </c>
      <c r="O11" s="76"/>
      <c r="P11" s="76"/>
      <c r="Q11" s="76"/>
      <c r="R11" s="76"/>
      <c r="S11" s="76"/>
      <c r="T11" s="76"/>
      <c r="AJ11" s="76" t="str">
        <f>"ADD CONSTRAINT "&amp;D$8&amp;"_pkey PRIMARY KEY"</f>
        <v>ADD CONSTRAINT sny_202310_backup_text_mml_mmlre_dp_pkey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2785</v>
      </c>
      <c r="D14" s="6" t="s">
        <v>2786</v>
      </c>
      <c r="E14" s="8" t="s">
        <v>127</v>
      </c>
      <c r="F14" s="7" t="s">
        <v>2784</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milscm_2023_009.sny_202310_backup_text_mml_mmlre_dp.body_no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milscm_2023_009.sny_202310_backup_text_mml_mmlre_dp.master_id IS '患者ID';</v>
      </c>
    </row>
    <row r="18" spans="1:52" s="25" customFormat="1">
      <c r="A18" s="4"/>
      <c r="B18" s="21">
        <f t="shared" si="2"/>
        <v>6</v>
      </c>
      <c r="C18" s="6" t="s">
        <v>2895</v>
      </c>
      <c r="D18" s="6" t="s">
        <v>2896</v>
      </c>
      <c r="E18" s="8" t="s">
        <v>127</v>
      </c>
      <c r="F18" s="7" t="s">
        <v>2784</v>
      </c>
      <c r="G18" s="7" t="str">
        <f t="shared" si="3"/>
        <v>integer</v>
      </c>
      <c r="H18" s="26"/>
      <c r="I18" s="10" t="s">
        <v>127</v>
      </c>
      <c r="J18" s="11" t="s">
        <v>2915</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2897</v>
      </c>
      <c r="D19" s="6" t="s">
        <v>2898</v>
      </c>
      <c r="E19" s="8" t="s">
        <v>127</v>
      </c>
      <c r="F19" s="7" t="s">
        <v>2784</v>
      </c>
      <c r="G19" s="7" t="str">
        <f t="shared" ref="G19:G26" si="7">IF(F19="フラグ","boolean",IF(F19="文字列","text",IF(F19="整数","integer",IF(F19="実数","numeric",""))))</f>
        <v>integer</v>
      </c>
      <c r="H19" s="26"/>
      <c r="I19" s="10" t="s">
        <v>127</v>
      </c>
      <c r="J19" s="11" t="s">
        <v>2916</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2899</v>
      </c>
      <c r="D20" s="6" t="s">
        <v>2900</v>
      </c>
      <c r="E20" s="8"/>
      <c r="F20" s="7" t="s">
        <v>1823</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milscm_2023_009.sny_202310_backup_text_mml_mmlre_dp.id IS '診療科ID';</v>
      </c>
    </row>
    <row r="21" spans="1:52" s="25" customFormat="1">
      <c r="A21" s="4"/>
      <c r="B21" s="21">
        <f t="shared" si="2"/>
        <v>9</v>
      </c>
      <c r="C21" s="6" t="s">
        <v>2901</v>
      </c>
      <c r="D21" s="6" t="s">
        <v>2902</v>
      </c>
      <c r="E21" s="8"/>
      <c r="F21" s="7" t="s">
        <v>1823</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2903</v>
      </c>
      <c r="D22" s="6" t="s">
        <v>2812</v>
      </c>
      <c r="E22" s="8"/>
      <c r="F22" s="7" t="s">
        <v>1823</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2904</v>
      </c>
      <c r="D23" s="6" t="s">
        <v>2905</v>
      </c>
      <c r="E23" s="8"/>
      <c r="F23" s="7" t="s">
        <v>2784</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2906</v>
      </c>
      <c r="D24" s="6" t="s">
        <v>2907</v>
      </c>
      <c r="E24" s="8"/>
      <c r="F24" s="7" t="s">
        <v>1823</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2908</v>
      </c>
      <c r="D25" s="6" t="s">
        <v>2909</v>
      </c>
      <c r="E25" s="8"/>
      <c r="F25" s="7" t="s">
        <v>1823</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2910</v>
      </c>
      <c r="D26" s="6" t="s">
        <v>2911</v>
      </c>
      <c r="E26" s="8"/>
      <c r="F26" s="7" t="s">
        <v>1823</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milscm_2023_009.sny_202310_backup_text_mml_mmlre_dp.dp_name_rep_code IS '診療科名称_表記法';</v>
      </c>
    </row>
    <row r="27" spans="1:52" s="25" customFormat="1" ht="35.450000000000003" customHeight="1" thickBot="1">
      <c r="A27" s="4"/>
      <c r="B27" s="27">
        <f>ROW()-12</f>
        <v>15</v>
      </c>
      <c r="C27" s="57" t="s">
        <v>2912</v>
      </c>
      <c r="D27" s="57" t="s">
        <v>2913</v>
      </c>
      <c r="E27" s="56"/>
      <c r="F27" s="56" t="s">
        <v>1823</v>
      </c>
      <c r="G27" s="56" t="str">
        <f t="shared" si="3"/>
        <v>text</v>
      </c>
      <c r="H27" s="59"/>
      <c r="I27" s="60"/>
      <c r="J27" s="64"/>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ENT_01_C1-01</v>
      </c>
      <c r="E6" s="240"/>
      <c r="F6" s="240"/>
      <c r="G6" s="240"/>
      <c r="H6" s="240"/>
      <c r="I6" s="240"/>
      <c r="J6" s="241"/>
    </row>
    <row r="7" spans="1:45">
      <c r="B7" s="229" t="s">
        <v>115</v>
      </c>
      <c r="C7" s="230"/>
      <c r="D7" s="231" t="s">
        <v>198</v>
      </c>
      <c r="E7" s="232"/>
      <c r="F7" s="232"/>
      <c r="G7" s="232"/>
      <c r="H7" s="232"/>
      <c r="I7" s="232"/>
      <c r="J7" s="233"/>
    </row>
    <row r="8" spans="1:45">
      <c r="B8" s="229" t="s">
        <v>116</v>
      </c>
      <c r="C8" s="230"/>
      <c r="D8" s="231" t="str">
        <f>エンティティ一覧!AE2&amp;"_"&amp;D5&amp;"_merge_dpc_dn"</f>
        <v>sny_202310_backup_merge_dpc_dn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milscm_2023_009.sny_202310_backup_merge_dpc_dn;</v>
      </c>
      <c r="O10" s="76"/>
      <c r="P10" s="76"/>
      <c r="Q10" s="76"/>
      <c r="R10" s="76"/>
      <c r="S10" s="76"/>
      <c r="T10" s="76"/>
      <c r="AJ10" s="76" t="str">
        <f>"ALTER TABLE ONLY "&amp;エンティティ一覧!$O$2&amp;"."&amp;D$8</f>
        <v>ALTER TABLE ONLY milscm_2023_009.sny_202310_backup_merge_dpc_dn</v>
      </c>
      <c r="AS10" s="76" t="str">
        <f>"ALTER TABLE "&amp;エンティティ一覧!$O$2&amp;"."&amp;D$8&amp;" OWNER TO pgmisgrp1;"</f>
        <v>ALTER TABLE milscm_2023_009.sny_202310_backup_merge_dpc_dn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milscm_2023_009.sny_202310_backup_merge_dpc_dn</v>
      </c>
      <c r="O11" s="76"/>
      <c r="P11" s="76"/>
      <c r="Q11" s="76"/>
      <c r="R11" s="76"/>
      <c r="S11" s="76"/>
      <c r="T11" s="76"/>
      <c r="AJ11" s="76" t="str">
        <f>"ADD CONSTRAINT "&amp;D$8&amp;"_pkey PRIMARY KEY"</f>
        <v>ADD CONSTRAINT sny_202310_backup_merge_dpc_dn_pkey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milscm_2023_009.sny_202310_backup_merge_dpc_dn.mil_karute_id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milscm_2023_009.sny_202310_backup_merge_dpc_dn.facility_id IS '施設ID';</v>
      </c>
    </row>
    <row r="16" spans="1:45" s="25" customFormat="1" ht="93.75">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milscm_2023_009.sny_202310_backup_merge_dpc_dn.shikibetsu_no IS 'データ識別番号';</v>
      </c>
    </row>
    <row r="19" spans="1:45" s="25" customFormat="1" ht="37.5">
      <c r="B19" s="21">
        <f t="shared" si="2"/>
        <v>7</v>
      </c>
      <c r="C19" s="6" t="s">
        <v>211</v>
      </c>
      <c r="D19" s="6" t="s">
        <v>212</v>
      </c>
      <c r="E19" s="7" t="s">
        <v>127</v>
      </c>
      <c r="F19" s="7" t="s">
        <v>201</v>
      </c>
      <c r="G19" s="7" t="str">
        <f t="shared" si="3"/>
        <v>text</v>
      </c>
      <c r="H19" s="9"/>
      <c r="I19" s="10" t="s">
        <v>127</v>
      </c>
      <c r="J19" s="53" t="s">
        <v>261</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milscm_2023_009.sny_202310_backup_merge_dpc_dn.bunrui_no IS '分類番号';</v>
      </c>
    </row>
    <row r="46" spans="1:45" s="25" customFormat="1" ht="38.25" thickBot="1">
      <c r="A46" s="4"/>
      <c r="B46" s="27">
        <f>ROW()-12</f>
        <v>34</v>
      </c>
      <c r="C46" s="28" t="s">
        <v>254</v>
      </c>
      <c r="D46" s="28" t="s">
        <v>255</v>
      </c>
      <c r="E46" s="29"/>
      <c r="F46" s="29" t="s">
        <v>201</v>
      </c>
      <c r="G46" s="56" t="str">
        <f t="shared" si="3"/>
        <v>text</v>
      </c>
      <c r="H46" s="30"/>
      <c r="I46" s="31"/>
      <c r="J46" s="55" t="s">
        <v>264</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ENT_01_C1-02</v>
      </c>
      <c r="E6" s="240"/>
      <c r="F6" s="240"/>
      <c r="G6" s="240"/>
      <c r="H6" s="240"/>
      <c r="I6" s="240"/>
      <c r="J6" s="241"/>
    </row>
    <row r="7" spans="1:45">
      <c r="B7" s="229" t="s">
        <v>115</v>
      </c>
      <c r="C7" s="230"/>
      <c r="D7" s="231" t="s">
        <v>192</v>
      </c>
      <c r="E7" s="232"/>
      <c r="F7" s="232"/>
      <c r="G7" s="232"/>
      <c r="H7" s="232"/>
      <c r="I7" s="232"/>
      <c r="J7" s="233"/>
    </row>
    <row r="8" spans="1:45">
      <c r="B8" s="229" t="s">
        <v>116</v>
      </c>
      <c r="C8" s="230"/>
      <c r="D8" s="231" t="str">
        <f>エンティティ一覧!AE2&amp;"_"&amp;D5&amp;"_merge_dpc_efn"</f>
        <v>sny_202310_backup_merge_dpc_efn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milscm_2023_009.sny_202310_backup_merge_dpc_efn;</v>
      </c>
      <c r="O10" s="76"/>
      <c r="P10" s="76"/>
      <c r="Q10" s="76"/>
      <c r="R10" s="76"/>
      <c r="S10" s="76"/>
      <c r="T10" s="76"/>
      <c r="AJ10" s="76" t="str">
        <f>"ALTER TABLE ONLY "&amp;エンティティ一覧!$O$2&amp;"."&amp;D$8</f>
        <v>ALTER TABLE ONLY milscm_2023_009.sny_202310_backup_merge_dpc_efn</v>
      </c>
      <c r="AS10" s="76" t="str">
        <f>"ALTER TABLE "&amp;エンティティ一覧!$O$2&amp;"."&amp;D$8&amp;" OWNER TO pgmisgrp1;"</f>
        <v>ALTER TABLE milscm_2023_009.sny_202310_backup_merge_dpc_efn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milscm_2023_009.sny_202310_backup_merge_dpc_efn</v>
      </c>
      <c r="O11" s="76"/>
      <c r="P11" s="76"/>
      <c r="Q11" s="76"/>
      <c r="R11" s="76"/>
      <c r="S11" s="76"/>
      <c r="T11" s="76"/>
      <c r="AJ11" s="76" t="str">
        <f>"ADD CONSTRAINT "&amp;D$8&amp;"_pkey PRIMARY KEY"</f>
        <v>ADD CONSTRAINT sny_202310_backup_merge_dpc_efn_pkey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milscm_2023_009.sny_202310_backup_merge_dpc_efn.dekidaka_tensu IS '出来高実績点数';</v>
      </c>
    </row>
    <row r="33" spans="1:47" s="25" customFormat="1" ht="56.25">
      <c r="A33" s="4"/>
      <c r="B33" s="21">
        <f t="shared" si="2"/>
        <v>21</v>
      </c>
      <c r="C33" s="6" t="s">
        <v>281</v>
      </c>
      <c r="D33" s="6" t="s">
        <v>132</v>
      </c>
      <c r="E33" s="8"/>
      <c r="F33" s="8" t="s">
        <v>201</v>
      </c>
      <c r="G33" s="7" t="str">
        <f t="shared" si="3"/>
        <v>text</v>
      </c>
      <c r="H33" s="9"/>
      <c r="I33" s="10"/>
      <c r="J33" s="53" t="s">
        <v>298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milscm_2023_009.sny_202310_backup_merge_dpc_efn.koi_meisai_kubun IS '行為明細区分情報';</v>
      </c>
    </row>
    <row r="34" spans="1:47" s="25" customFormat="1" ht="56.25">
      <c r="A34" s="4"/>
      <c r="B34" s="21">
        <f t="shared" si="2"/>
        <v>22</v>
      </c>
      <c r="C34" s="6" t="s">
        <v>282</v>
      </c>
      <c r="D34" s="6" t="s">
        <v>224</v>
      </c>
      <c r="E34" s="8"/>
      <c r="F34" s="8" t="s">
        <v>225</v>
      </c>
      <c r="G34" s="7" t="str">
        <f t="shared" si="3"/>
        <v>numeric</v>
      </c>
      <c r="H34" s="9"/>
      <c r="I34" s="10"/>
      <c r="J34" s="53"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milscm_2023_009.sny_202310_backup_merge_dpc_efn.nyugai_kubun IS '入外区分';</v>
      </c>
    </row>
    <row r="47" spans="1:47" s="25" customFormat="1" ht="19.5" thickBot="1">
      <c r="A47" s="4"/>
      <c r="B47" s="27">
        <f>ROW()-12</f>
        <v>35</v>
      </c>
      <c r="C47" s="28" t="s">
        <v>294</v>
      </c>
      <c r="D47" s="28" t="s">
        <v>245</v>
      </c>
      <c r="E47" s="29"/>
      <c r="F47" s="29" t="s">
        <v>201</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ENT_01_C1-03</v>
      </c>
      <c r="E6" s="240"/>
      <c r="F6" s="240"/>
      <c r="G6" s="240"/>
      <c r="H6" s="240"/>
      <c r="I6" s="240"/>
      <c r="J6" s="241"/>
    </row>
    <row r="7" spans="1:45">
      <c r="B7" s="229" t="s">
        <v>115</v>
      </c>
      <c r="C7" s="230"/>
      <c r="D7" s="231" t="s">
        <v>180</v>
      </c>
      <c r="E7" s="232"/>
      <c r="F7" s="232"/>
      <c r="G7" s="232"/>
      <c r="H7" s="232"/>
      <c r="I7" s="232"/>
      <c r="J7" s="233"/>
    </row>
    <row r="8" spans="1:45">
      <c r="B8" s="229" t="s">
        <v>116</v>
      </c>
      <c r="C8" s="230"/>
      <c r="D8" s="231" t="str">
        <f>エンティティ一覧!AE2&amp;"_"&amp;D5&amp;"_merge_dpc_efg"</f>
        <v>sny_202310_backup_merge_dpc_efg</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milscm_2023_009.sny_202310_backup_merge_dpc_efg;</v>
      </c>
      <c r="O10" s="76"/>
      <c r="P10" s="76"/>
      <c r="Q10" s="76"/>
      <c r="R10" s="76"/>
      <c r="S10" s="76"/>
      <c r="T10" s="76"/>
      <c r="AJ10" s="76" t="str">
        <f>"ALTER TABLE ONLY "&amp;エンティティ一覧!$O$2&amp;"."&amp;D$8</f>
        <v>ALTER TABLE ONLY milscm_2023_009.sny_202310_backup_merge_dpc_efg</v>
      </c>
      <c r="AS10" s="76" t="str">
        <f>"ALTER TABLE "&amp;エンティティ一覧!$O$2&amp;"."&amp;D$8&amp;" OWNER TO pgmisgrp1;"</f>
        <v>ALTER TABLE milscm_2023_009.sny_202310_backup_merge_dpc_efg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milscm_2023_009.sny_202310_backup_merge_dpc_efg</v>
      </c>
      <c r="O11" s="76"/>
      <c r="P11" s="76"/>
      <c r="Q11" s="76"/>
      <c r="R11" s="76"/>
      <c r="S11" s="76"/>
      <c r="T11" s="76"/>
      <c r="AJ11" s="76" t="str">
        <f>"ADD CONSTRAINT "&amp;D$8&amp;"_pkey PRIMARY KEY"</f>
        <v>ADD CONSTRAINT sny_202310_backup_merge_dpc_efg_pkey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milscm_2023_009.sny_202310_backup_merge_dpc_efg.dekidaka_tensu IS '出来高実績点数';</v>
      </c>
    </row>
    <row r="33" spans="1:47" s="25" customFormat="1" ht="56.25">
      <c r="A33" s="4"/>
      <c r="B33" s="21">
        <f t="shared" si="2"/>
        <v>21</v>
      </c>
      <c r="C33" s="6" t="s">
        <v>338</v>
      </c>
      <c r="D33" s="6" t="s">
        <v>132</v>
      </c>
      <c r="E33" s="8"/>
      <c r="F33" s="7" t="s">
        <v>317</v>
      </c>
      <c r="G33" s="7" t="str">
        <f t="shared" si="3"/>
        <v>text</v>
      </c>
      <c r="H33" s="26"/>
      <c r="I33" s="10"/>
      <c r="J33" s="11" t="s">
        <v>901</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milscm_2023_009.sny_202310_backup_merge_dpc_efg.koi_meisai_kubun IS '行為明細区分情報';</v>
      </c>
    </row>
    <row r="34" spans="1:47" s="25" customFormat="1" ht="56.25">
      <c r="A34" s="4"/>
      <c r="B34" s="21">
        <f t="shared" si="2"/>
        <v>22</v>
      </c>
      <c r="C34" s="13" t="s">
        <v>339</v>
      </c>
      <c r="D34" s="13" t="s">
        <v>340</v>
      </c>
      <c r="E34" s="7"/>
      <c r="F34" s="7" t="s">
        <v>332</v>
      </c>
      <c r="G34" s="7" t="str">
        <f t="shared" si="3"/>
        <v>numeric</v>
      </c>
      <c r="H34" s="58"/>
      <c r="I34" s="23"/>
      <c r="J34" s="24"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milscm_2023_009.sny_202310_backup_merge_dpc_efg.nyugai_kubun IS '入外区分';</v>
      </c>
    </row>
    <row r="47" spans="1:47" s="25" customFormat="1" ht="19.5" thickBot="1">
      <c r="A47" s="4"/>
      <c r="B47" s="27">
        <f>ROW()-12</f>
        <v>35</v>
      </c>
      <c r="C47" s="57" t="s">
        <v>352</v>
      </c>
      <c r="D47" s="57" t="s">
        <v>245</v>
      </c>
      <c r="E47" s="56"/>
      <c r="F47" s="56" t="s">
        <v>317</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ENT_01_C1-04</v>
      </c>
      <c r="E6" s="240"/>
      <c r="F6" s="240"/>
      <c r="G6" s="240"/>
      <c r="H6" s="240"/>
      <c r="I6" s="240"/>
      <c r="J6" s="241"/>
    </row>
    <row r="7" spans="1:45">
      <c r="B7" s="229" t="s">
        <v>115</v>
      </c>
      <c r="C7" s="230"/>
      <c r="D7" s="231" t="s">
        <v>357</v>
      </c>
      <c r="E7" s="232"/>
      <c r="F7" s="232"/>
      <c r="G7" s="232"/>
      <c r="H7" s="232"/>
      <c r="I7" s="232"/>
      <c r="J7" s="233"/>
    </row>
    <row r="8" spans="1:45">
      <c r="B8" s="229" t="s">
        <v>116</v>
      </c>
      <c r="C8" s="230"/>
      <c r="D8" s="231" t="str">
        <f>エンティティ一覧!AE2&amp;"_"&amp;D5&amp;"_merge_dpc_hn"</f>
        <v>sny_202310_backup_merge_dpc_hn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milscm_2023_009.sny_202310_backup_merge_dpc_hn;</v>
      </c>
      <c r="O10" s="76"/>
      <c r="P10" s="76"/>
      <c r="Q10" s="76"/>
      <c r="R10" s="76"/>
      <c r="S10" s="76"/>
      <c r="T10" s="76"/>
      <c r="AJ10" s="76" t="str">
        <f>"ALTER TABLE ONLY "&amp;エンティティ一覧!$O$2&amp;"."&amp;D$8</f>
        <v>ALTER TABLE ONLY milscm_2023_009.sny_202310_backup_merge_dpc_hn</v>
      </c>
      <c r="AS10" s="76" t="str">
        <f>"ALTER TABLE "&amp;エンティティ一覧!$O$2&amp;"."&amp;D$8&amp;" OWNER TO pgmisgrp1;"</f>
        <v>ALTER TABLE milscm_2023_009.sny_202310_backup_merge_dpc_hn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milscm_2023_009.sny_202310_backup_merge_dpc_hn</v>
      </c>
      <c r="O11" s="76"/>
      <c r="P11" s="76"/>
      <c r="Q11" s="76"/>
      <c r="R11" s="76"/>
      <c r="S11" s="76"/>
      <c r="T11" s="76"/>
      <c r="AJ11" s="76" t="str">
        <f>"ADD CONSTRAINT "&amp;D$8&amp;"_pkey PRIMARY KEY"</f>
        <v>ADD CONSTRAINT sny_202310_backup_merge_dpc_hn_pkey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milscm_2023_009.sny_202310_backup_merge_dpc_hn.mil_karute_id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milscm_2023_009.sny_202310_backup_merge_dpc_hn.facility_id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milscm_2023_009.sny_202310_backup_merge_dpc_hn.shikibetsu_no IS 'データ識別番号';</v>
      </c>
    </row>
    <row r="20" spans="1:45" s="25" customFormat="1" ht="37.5">
      <c r="B20" s="21">
        <f t="shared" si="2"/>
        <v>8</v>
      </c>
      <c r="C20" s="6" t="s">
        <v>211</v>
      </c>
      <c r="D20" s="6" t="s">
        <v>212</v>
      </c>
      <c r="E20" s="8" t="s">
        <v>127</v>
      </c>
      <c r="F20" s="7" t="s">
        <v>317</v>
      </c>
      <c r="G20" s="7" t="str">
        <f t="shared" si="3"/>
        <v>text</v>
      </c>
      <c r="H20" s="26"/>
      <c r="I20" s="10" t="s">
        <v>127</v>
      </c>
      <c r="J20" s="11" t="s">
        <v>261</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milscm_2023_009.sny_202310_backup_merge_dpc_hn.number IS '連番';</v>
      </c>
    </row>
    <row r="26" spans="1:45" s="25" customFormat="1" ht="168.75">
      <c r="A26" s="4"/>
      <c r="B26" s="21">
        <f t="shared" si="2"/>
        <v>14</v>
      </c>
      <c r="C26" s="6" t="s">
        <v>364</v>
      </c>
      <c r="D26" s="6" t="s">
        <v>365</v>
      </c>
      <c r="E26" s="8"/>
      <c r="F26" s="7" t="s">
        <v>317</v>
      </c>
      <c r="G26" s="7" t="str">
        <f t="shared" si="3"/>
        <v>text</v>
      </c>
      <c r="H26" s="26"/>
      <c r="I26" s="10"/>
      <c r="J26" s="11" t="s">
        <v>543</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milscm_2023_009.sny_202310_backup_merge_dpc_hn.ass0010_tenteki_kanri IS '点滴ライン同時3本以上の管理';</v>
      </c>
    </row>
    <row r="29" spans="1:45" s="25" customFormat="1">
      <c r="A29" s="4"/>
      <c r="B29" s="21">
        <f t="shared" si="2"/>
        <v>17</v>
      </c>
      <c r="C29" s="6" t="s">
        <v>370</v>
      </c>
      <c r="D29" s="6" t="s">
        <v>371</v>
      </c>
      <c r="E29" s="8"/>
      <c r="F29" s="7" t="s">
        <v>317</v>
      </c>
      <c r="G29" s="7" t="str">
        <f t="shared" si="3"/>
        <v>text</v>
      </c>
      <c r="H29" s="26"/>
      <c r="I29" s="10"/>
      <c r="J29" s="11" t="s">
        <v>544</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milscm_2023_009.sny_202310_backup_merge_dpc_hn.ass0010_shindenzu_kanri IS '心電図モニターの管理';</v>
      </c>
    </row>
    <row r="30" spans="1:45" s="25" customFormat="1" ht="31.5">
      <c r="A30" s="4"/>
      <c r="B30" s="21">
        <f t="shared" si="2"/>
        <v>18</v>
      </c>
      <c r="C30" s="13" t="s">
        <v>372</v>
      </c>
      <c r="D30" s="13" t="s">
        <v>373</v>
      </c>
      <c r="E30" s="7"/>
      <c r="F30" s="7" t="s">
        <v>317</v>
      </c>
      <c r="G30" s="7" t="str">
        <f t="shared" si="3"/>
        <v>text</v>
      </c>
      <c r="H30" s="58"/>
      <c r="I30" s="23"/>
      <c r="J30" s="24" t="s">
        <v>544</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milscm_2023_009.sny_202310_backup_merge_dpc_hn.ass0010_syringe_pump_kanri IS 'シリンジポンプの管理';</v>
      </c>
    </row>
    <row r="31" spans="1:45" s="25" customFormat="1" ht="31.5">
      <c r="A31" s="4"/>
      <c r="B31" s="21">
        <f t="shared" si="2"/>
        <v>19</v>
      </c>
      <c r="C31" s="6" t="s">
        <v>374</v>
      </c>
      <c r="D31" s="6" t="s">
        <v>375</v>
      </c>
      <c r="E31" s="8"/>
      <c r="F31" s="7" t="s">
        <v>317</v>
      </c>
      <c r="G31" s="7" t="str">
        <f t="shared" si="3"/>
        <v>text</v>
      </c>
      <c r="H31" s="26"/>
      <c r="I31" s="10"/>
      <c r="J31" s="11" t="s">
        <v>544</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milscm_2023_009.sny_202310_backup_merge_dpc_hn.ass0010_blood_products_kanri IS '輸血や血液製剤の管理';</v>
      </c>
    </row>
    <row r="32" spans="1:45" s="25" customFormat="1" ht="281.25">
      <c r="A32" s="4"/>
      <c r="B32" s="21">
        <f t="shared" si="2"/>
        <v>20</v>
      </c>
      <c r="C32" s="13" t="s">
        <v>376</v>
      </c>
      <c r="D32" s="13" t="s">
        <v>377</v>
      </c>
      <c r="E32" s="7"/>
      <c r="F32" s="7" t="s">
        <v>317</v>
      </c>
      <c r="G32" s="7" t="str">
        <f t="shared" si="3"/>
        <v>text</v>
      </c>
      <c r="H32" s="58"/>
      <c r="I32" s="23"/>
      <c r="J32" s="24" t="s">
        <v>545</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milscm_2023_009.sny_202310_backup_merge_dpc_hn.ass0010_expert_chiryo IS '専門的な治療・処置';</v>
      </c>
    </row>
    <row r="33" spans="1:52" s="25" customFormat="1">
      <c r="A33" s="4"/>
      <c r="B33" s="21">
        <f t="shared" si="2"/>
        <v>21</v>
      </c>
      <c r="C33" s="6" t="s">
        <v>378</v>
      </c>
      <c r="D33" s="6" t="s">
        <v>379</v>
      </c>
      <c r="E33" s="8"/>
      <c r="F33" s="7" t="s">
        <v>317</v>
      </c>
      <c r="G33" s="7" t="str">
        <f t="shared" si="3"/>
        <v>text</v>
      </c>
      <c r="H33" s="26"/>
      <c r="I33" s="10"/>
      <c r="J33" s="11" t="s">
        <v>544</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milscm_2023_009.sny_202310_backup_merge_dpc_hn.ass0010_hanso_nyuin_flag IS '救急搬送後の入院';</v>
      </c>
    </row>
    <row r="34" spans="1:52" s="25" customFormat="1" ht="168.75">
      <c r="A34" s="4"/>
      <c r="B34" s="21">
        <f t="shared" si="2"/>
        <v>22</v>
      </c>
      <c r="C34" s="13" t="s">
        <v>364</v>
      </c>
      <c r="D34" s="13" t="s">
        <v>380</v>
      </c>
      <c r="E34" s="7"/>
      <c r="F34" s="7" t="s">
        <v>317</v>
      </c>
      <c r="G34" s="7" t="str">
        <f t="shared" si="3"/>
        <v>text</v>
      </c>
      <c r="H34" s="58"/>
      <c r="I34" s="23"/>
      <c r="J34" s="24" t="s">
        <v>543</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milscm_2023_009.sny_202310_backup_merge_dpc_hn.ass0011_tenteki_kanri IS '点滴ライン同時3本以上の管理';</v>
      </c>
    </row>
    <row r="37" spans="1:52" s="25" customFormat="1">
      <c r="A37" s="4"/>
      <c r="B37" s="21">
        <f t="shared" si="2"/>
        <v>25</v>
      </c>
      <c r="C37" s="13" t="s">
        <v>370</v>
      </c>
      <c r="D37" s="13" t="s">
        <v>383</v>
      </c>
      <c r="E37" s="7"/>
      <c r="F37" s="7" t="s">
        <v>317</v>
      </c>
      <c r="G37" s="7" t="str">
        <f t="shared" si="3"/>
        <v>text</v>
      </c>
      <c r="H37" s="58"/>
      <c r="I37" s="23"/>
      <c r="J37" s="24" t="s">
        <v>544</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milscm_2023_009.sny_202310_backup_merge_dpc_hn.ass0011_shindenzu_kanri IS '心電図モニターの管理';</v>
      </c>
    </row>
    <row r="38" spans="1:52" s="25" customFormat="1" ht="31.5">
      <c r="A38" s="4"/>
      <c r="B38" s="21">
        <f t="shared" si="2"/>
        <v>26</v>
      </c>
      <c r="C38" s="6" t="s">
        <v>372</v>
      </c>
      <c r="D38" s="6" t="s">
        <v>384</v>
      </c>
      <c r="E38" s="8"/>
      <c r="F38" s="7" t="s">
        <v>317</v>
      </c>
      <c r="G38" s="7" t="str">
        <f t="shared" si="3"/>
        <v>text</v>
      </c>
      <c r="H38" s="26"/>
      <c r="I38" s="10"/>
      <c r="J38" s="11" t="s">
        <v>544</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milscm_2023_009.sny_202310_backup_merge_dpc_hn.ass0011_syringe_pump_kanri IS 'シリンジポンプの管理';</v>
      </c>
    </row>
    <row r="39" spans="1:52" s="25" customFormat="1" ht="31.5">
      <c r="A39" s="4"/>
      <c r="B39" s="21">
        <f t="shared" si="2"/>
        <v>27</v>
      </c>
      <c r="C39" s="13" t="s">
        <v>374</v>
      </c>
      <c r="D39" s="13" t="s">
        <v>385</v>
      </c>
      <c r="E39" s="7"/>
      <c r="F39" s="7" t="s">
        <v>317</v>
      </c>
      <c r="G39" s="7" t="str">
        <f t="shared" si="3"/>
        <v>text</v>
      </c>
      <c r="H39" s="58"/>
      <c r="I39" s="23"/>
      <c r="J39" s="24" t="s">
        <v>544</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milscm_2023_009.sny_202310_backup_merge_dpc_hn.ass0011_blood_products_kanri IS '輸血や血液製剤の管理';</v>
      </c>
    </row>
    <row r="40" spans="1:52" s="25" customFormat="1" ht="150">
      <c r="A40" s="4"/>
      <c r="B40" s="21">
        <f t="shared" si="2"/>
        <v>28</v>
      </c>
      <c r="C40" s="6" t="s">
        <v>386</v>
      </c>
      <c r="D40" s="6" t="s">
        <v>387</v>
      </c>
      <c r="E40" s="8"/>
      <c r="F40" s="7" t="s">
        <v>317</v>
      </c>
      <c r="G40" s="7" t="str">
        <f t="shared" si="3"/>
        <v>text</v>
      </c>
      <c r="H40" s="26"/>
      <c r="I40" s="10"/>
      <c r="J40" s="11" t="s">
        <v>546</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milscm_2023_009.sny_202310_backup_merge_dpc_hn.ass0011_expert_chiryo_sankoumoku IS '専門的な治療・処置（3項目）';</v>
      </c>
    </row>
    <row r="41" spans="1:52" s="25" customFormat="1">
      <c r="A41" s="4"/>
      <c r="B41" s="21">
        <f t="shared" si="2"/>
        <v>29</v>
      </c>
      <c r="C41" s="13" t="s">
        <v>378</v>
      </c>
      <c r="D41" s="13" t="s">
        <v>388</v>
      </c>
      <c r="E41" s="7"/>
      <c r="F41" s="7" t="s">
        <v>317</v>
      </c>
      <c r="G41" s="7" t="str">
        <f t="shared" si="3"/>
        <v>text</v>
      </c>
      <c r="H41" s="58"/>
      <c r="I41" s="23"/>
      <c r="J41" s="24" t="s">
        <v>544</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milscm_2023_009.sny_202310_backup_merge_dpc_hn.ass0011_hanso_nyuin_flag IS '救急搬送後の入院';</v>
      </c>
    </row>
    <row r="42" spans="1:52" s="25" customFormat="1" ht="168.75">
      <c r="A42" s="4"/>
      <c r="B42" s="21">
        <f t="shared" si="2"/>
        <v>30</v>
      </c>
      <c r="C42" s="6" t="s">
        <v>364</v>
      </c>
      <c r="D42" s="6" t="s">
        <v>389</v>
      </c>
      <c r="E42" s="8"/>
      <c r="F42" s="7" t="s">
        <v>317</v>
      </c>
      <c r="G42" s="7" t="str">
        <f t="shared" si="3"/>
        <v>text</v>
      </c>
      <c r="H42" s="26"/>
      <c r="I42" s="10"/>
      <c r="J42" s="11" t="s">
        <v>543</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milscm_2023_009.sny_202310_backup_merge_dpc_hn.ass0012_sosho_shochi IS '創傷処置';</v>
      </c>
    </row>
    <row r="43" spans="1:52" s="25" customFormat="1" ht="31.5">
      <c r="A43" s="4"/>
      <c r="B43" s="21">
        <f t="shared" si="2"/>
        <v>31</v>
      </c>
      <c r="C43" s="13" t="s">
        <v>390</v>
      </c>
      <c r="D43" s="13" t="s">
        <v>391</v>
      </c>
      <c r="E43" s="7"/>
      <c r="F43" s="7" t="s">
        <v>317</v>
      </c>
      <c r="G43" s="7" t="str">
        <f t="shared" si="3"/>
        <v>text</v>
      </c>
      <c r="H43" s="58"/>
      <c r="I43" s="23"/>
      <c r="J43" s="24" t="s">
        <v>544</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milscm_2023_009.sny_202310_backup_merge_dpc_hn.ass0012_chusya_kanri IS '注射薬剤３種類以上の管理';</v>
      </c>
    </row>
    <row r="45" spans="1:52" s="25" customFormat="1" ht="31.5">
      <c r="A45" s="4"/>
      <c r="B45" s="21">
        <f t="shared" si="2"/>
        <v>33</v>
      </c>
      <c r="C45" s="13" t="s">
        <v>372</v>
      </c>
      <c r="D45" s="13" t="s">
        <v>394</v>
      </c>
      <c r="E45" s="7"/>
      <c r="F45" s="7" t="s">
        <v>317</v>
      </c>
      <c r="G45" s="7" t="str">
        <f t="shared" si="3"/>
        <v>text</v>
      </c>
      <c r="H45" s="58"/>
      <c r="I45" s="23"/>
      <c r="J45" s="24" t="s">
        <v>544</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milscm_2023_009.sny_202310_backup_merge_dpc_hn.ass0012_syringe_pump_kanri IS 'シリンジポンプの管理';</v>
      </c>
    </row>
    <row r="46" spans="1:52" s="25" customFormat="1" ht="31.5">
      <c r="A46" s="4"/>
      <c r="B46" s="21">
        <f t="shared" si="2"/>
        <v>34</v>
      </c>
      <c r="C46" s="13" t="s">
        <v>374</v>
      </c>
      <c r="D46" s="13" t="s">
        <v>395</v>
      </c>
      <c r="E46" s="7"/>
      <c r="F46" s="7" t="s">
        <v>317</v>
      </c>
      <c r="G46" s="7" t="str">
        <f t="shared" si="3"/>
        <v>text</v>
      </c>
      <c r="H46" s="58"/>
      <c r="I46" s="23"/>
      <c r="J46" s="24" t="s">
        <v>544</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milscm_2023_009.sny_202310_backup_merge_dpc_hn.ass0012_blood_products_kanri IS '輸血や血液製剤の管理';</v>
      </c>
    </row>
    <row r="47" spans="1:52" s="25" customFormat="1" ht="150">
      <c r="A47" s="4"/>
      <c r="B47" s="21">
        <f t="shared" si="2"/>
        <v>35</v>
      </c>
      <c r="C47" s="13" t="s">
        <v>376</v>
      </c>
      <c r="D47" s="13" t="s">
        <v>396</v>
      </c>
      <c r="E47" s="7"/>
      <c r="F47" s="7" t="s">
        <v>317</v>
      </c>
      <c r="G47" s="7" t="str">
        <f t="shared" si="3"/>
        <v>text</v>
      </c>
      <c r="H47" s="58"/>
      <c r="I47" s="23"/>
      <c r="J47" s="24" t="s">
        <v>546</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milscm_2023_009.sny_202310_backup_merge_dpc_hn.ass0012_expert_chiryo IS '専門的な治療・処置';</v>
      </c>
      <c r="AT47" s="4"/>
      <c r="AU47" s="4"/>
    </row>
    <row r="48" spans="1:52" s="25" customFormat="1">
      <c r="A48" s="4"/>
      <c r="B48" s="21">
        <f t="shared" si="2"/>
        <v>36</v>
      </c>
      <c r="C48" s="6" t="s">
        <v>378</v>
      </c>
      <c r="D48" s="6" t="s">
        <v>397</v>
      </c>
      <c r="E48" s="8"/>
      <c r="F48" s="7" t="s">
        <v>317</v>
      </c>
      <c r="G48" s="7" t="str">
        <f t="shared" si="3"/>
        <v>text</v>
      </c>
      <c r="H48" s="26"/>
      <c r="I48" s="10"/>
      <c r="J48" s="11" t="s">
        <v>544</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7.5">
      <c r="A49" s="4"/>
      <c r="B49" s="21">
        <f t="shared" si="2"/>
        <v>37</v>
      </c>
      <c r="C49" s="13" t="s">
        <v>398</v>
      </c>
      <c r="D49" s="13" t="s">
        <v>399</v>
      </c>
      <c r="E49" s="7"/>
      <c r="F49" s="7" t="s">
        <v>317</v>
      </c>
      <c r="G49" s="7" t="str">
        <f t="shared" si="3"/>
        <v>text</v>
      </c>
      <c r="H49" s="58"/>
      <c r="I49" s="23"/>
      <c r="J49" s="24" t="s">
        <v>547</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c r="A53" s="4"/>
      <c r="B53" s="21">
        <f t="shared" si="2"/>
        <v>41</v>
      </c>
      <c r="C53" s="6" t="s">
        <v>406</v>
      </c>
      <c r="D53" s="6" t="s">
        <v>407</v>
      </c>
      <c r="E53" s="8"/>
      <c r="F53" s="7" t="s">
        <v>317</v>
      </c>
      <c r="G53" s="7" t="str">
        <f t="shared" si="3"/>
        <v>text</v>
      </c>
      <c r="H53" s="26"/>
      <c r="I53" s="10"/>
      <c r="J53" s="11" t="s">
        <v>548</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7.5">
      <c r="A56" s="4"/>
      <c r="B56" s="21">
        <f t="shared" si="2"/>
        <v>44</v>
      </c>
      <c r="C56" s="13" t="s">
        <v>398</v>
      </c>
      <c r="D56" s="13" t="s">
        <v>412</v>
      </c>
      <c r="E56" s="7"/>
      <c r="F56" s="7" t="s">
        <v>317</v>
      </c>
      <c r="G56" s="7" t="str">
        <f t="shared" si="3"/>
        <v>text</v>
      </c>
      <c r="H56" s="58"/>
      <c r="I56" s="23"/>
      <c r="J56" s="24" t="s">
        <v>547</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1.5">
      <c r="A58" s="4"/>
      <c r="B58" s="21">
        <f t="shared" si="2"/>
        <v>46</v>
      </c>
      <c r="C58" s="13" t="s">
        <v>415</v>
      </c>
      <c r="D58" s="13" t="s">
        <v>416</v>
      </c>
      <c r="E58" s="7"/>
      <c r="F58" s="7" t="s">
        <v>317</v>
      </c>
      <c r="G58" s="7" t="str">
        <f t="shared" si="3"/>
        <v>text</v>
      </c>
      <c r="H58" s="58"/>
      <c r="I58" s="23"/>
      <c r="J58" s="24" t="s">
        <v>553</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1.5">
      <c r="A59" s="4"/>
      <c r="B59" s="21">
        <f t="shared" si="2"/>
        <v>47</v>
      </c>
      <c r="C59" s="6" t="s">
        <v>417</v>
      </c>
      <c r="D59" s="6" t="s">
        <v>418</v>
      </c>
      <c r="E59" s="8"/>
      <c r="F59" s="7" t="s">
        <v>317</v>
      </c>
      <c r="G59" s="7" t="str">
        <f t="shared" si="3"/>
        <v>text</v>
      </c>
      <c r="H59" s="26"/>
      <c r="I59" s="10"/>
      <c r="J59" s="11" t="s">
        <v>552</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1.5">
      <c r="A60" s="4"/>
      <c r="B60" s="21">
        <f t="shared" si="2"/>
        <v>48</v>
      </c>
      <c r="C60" s="13" t="s">
        <v>419</v>
      </c>
      <c r="D60" s="13" t="s">
        <v>420</v>
      </c>
      <c r="E60" s="7"/>
      <c r="F60" s="7" t="s">
        <v>317</v>
      </c>
      <c r="G60" s="7" t="str">
        <f t="shared" si="3"/>
        <v>text</v>
      </c>
      <c r="H60" s="58"/>
      <c r="I60" s="23"/>
      <c r="J60" s="24" t="s">
        <v>552</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1.5">
      <c r="A64" s="4"/>
      <c r="B64" s="21">
        <f t="shared" si="2"/>
        <v>52</v>
      </c>
      <c r="C64" s="13" t="s">
        <v>425</v>
      </c>
      <c r="D64" s="13" t="s">
        <v>426</v>
      </c>
      <c r="E64" s="7"/>
      <c r="F64" s="7" t="s">
        <v>317</v>
      </c>
      <c r="G64" s="7" t="str">
        <f t="shared" si="3"/>
        <v>text</v>
      </c>
      <c r="H64" s="58"/>
      <c r="I64" s="23"/>
      <c r="J64" s="24" t="s">
        <v>554</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1.5">
      <c r="A65" s="4"/>
      <c r="B65" s="21">
        <f t="shared" si="2"/>
        <v>53</v>
      </c>
      <c r="C65" s="6" t="s">
        <v>427</v>
      </c>
      <c r="D65" s="6" t="s">
        <v>428</v>
      </c>
      <c r="E65" s="8"/>
      <c r="F65" s="7" t="s">
        <v>317</v>
      </c>
      <c r="G65" s="7" t="str">
        <f t="shared" si="3"/>
        <v>text</v>
      </c>
      <c r="H65" s="26"/>
      <c r="I65" s="10"/>
      <c r="J65" s="11" t="s">
        <v>554</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1.5">
      <c r="A66" s="4"/>
      <c r="B66" s="21">
        <f t="shared" si="2"/>
        <v>54</v>
      </c>
      <c r="C66" s="13" t="s">
        <v>429</v>
      </c>
      <c r="D66" s="13" t="s">
        <v>430</v>
      </c>
      <c r="E66" s="7"/>
      <c r="F66" s="7" t="s">
        <v>317</v>
      </c>
      <c r="G66" s="7" t="str">
        <f t="shared" si="3"/>
        <v>text</v>
      </c>
      <c r="H66" s="58"/>
      <c r="I66" s="23"/>
      <c r="J66" s="24" t="s">
        <v>554</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1.5">
      <c r="A67" s="4"/>
      <c r="B67" s="21">
        <f t="shared" si="2"/>
        <v>55</v>
      </c>
      <c r="C67" s="6" t="s">
        <v>431</v>
      </c>
      <c r="D67" s="6" t="s">
        <v>432</v>
      </c>
      <c r="E67" s="8"/>
      <c r="F67" s="7" t="s">
        <v>317</v>
      </c>
      <c r="G67" s="7" t="str">
        <f t="shared" si="3"/>
        <v>text</v>
      </c>
      <c r="H67" s="26"/>
      <c r="I67" s="10"/>
      <c r="J67" s="11" t="s">
        <v>544</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1.5">
      <c r="A68" s="4"/>
      <c r="B68" s="21">
        <f t="shared" si="2"/>
        <v>56</v>
      </c>
      <c r="C68" s="13" t="s">
        <v>433</v>
      </c>
      <c r="D68" s="13" t="s">
        <v>434</v>
      </c>
      <c r="E68" s="7"/>
      <c r="F68" s="7" t="s">
        <v>317</v>
      </c>
      <c r="G68" s="7" t="str">
        <f t="shared" si="3"/>
        <v>text</v>
      </c>
      <c r="H68" s="58"/>
      <c r="I68" s="23"/>
      <c r="J68" s="24" t="s">
        <v>544</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1.5">
      <c r="A69" s="4"/>
      <c r="B69" s="21">
        <f t="shared" si="2"/>
        <v>57</v>
      </c>
      <c r="C69" s="6" t="s">
        <v>435</v>
      </c>
      <c r="D69" s="6" t="s">
        <v>436</v>
      </c>
      <c r="E69" s="8"/>
      <c r="F69" s="7" t="s">
        <v>317</v>
      </c>
      <c r="G69" s="7" t="str">
        <f t="shared" si="3"/>
        <v>text</v>
      </c>
      <c r="H69" s="26"/>
      <c r="I69" s="10"/>
      <c r="J69" s="11" t="s">
        <v>544</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1.5">
      <c r="A70" s="4"/>
      <c r="B70" s="21">
        <f t="shared" si="2"/>
        <v>58</v>
      </c>
      <c r="C70" s="6" t="s">
        <v>437</v>
      </c>
      <c r="D70" s="6" t="s">
        <v>438</v>
      </c>
      <c r="E70" s="8"/>
      <c r="F70" s="7" t="s">
        <v>317</v>
      </c>
      <c r="G70" s="7" t="str">
        <f t="shared" si="3"/>
        <v>text</v>
      </c>
      <c r="H70" s="26"/>
      <c r="I70" s="10"/>
      <c r="J70" s="11" t="s">
        <v>544</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1.5">
      <c r="A71" s="4"/>
      <c r="B71" s="21">
        <f t="shared" si="2"/>
        <v>59</v>
      </c>
      <c r="C71" s="13" t="s">
        <v>439</v>
      </c>
      <c r="D71" s="13" t="s">
        <v>440</v>
      </c>
      <c r="E71" s="7"/>
      <c r="F71" s="7" t="s">
        <v>317</v>
      </c>
      <c r="G71" s="7" t="str">
        <f t="shared" si="3"/>
        <v>text</v>
      </c>
      <c r="H71" s="58"/>
      <c r="I71" s="23"/>
      <c r="J71" s="24" t="s">
        <v>544</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1.5">
      <c r="A72" s="4"/>
      <c r="B72" s="21">
        <f t="shared" si="2"/>
        <v>60</v>
      </c>
      <c r="C72" s="6" t="s">
        <v>441</v>
      </c>
      <c r="D72" s="6" t="s">
        <v>442</v>
      </c>
      <c r="E72" s="8"/>
      <c r="F72" s="7" t="s">
        <v>317</v>
      </c>
      <c r="G72" s="7" t="str">
        <f t="shared" si="3"/>
        <v>text</v>
      </c>
      <c r="H72" s="26"/>
      <c r="I72" s="10"/>
      <c r="J72" s="11" t="s">
        <v>544</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443</v>
      </c>
      <c r="D73" s="13" t="s">
        <v>444</v>
      </c>
      <c r="E73" s="7"/>
      <c r="F73" s="7" t="s">
        <v>317</v>
      </c>
      <c r="G73" s="7" t="str">
        <f t="shared" si="3"/>
        <v>text</v>
      </c>
      <c r="H73" s="58"/>
      <c r="I73" s="23"/>
      <c r="J73" s="24" t="s">
        <v>555</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c r="A74" s="4"/>
      <c r="B74" s="21">
        <f t="shared" si="2"/>
        <v>62</v>
      </c>
      <c r="C74" s="6" t="s">
        <v>370</v>
      </c>
      <c r="D74" s="6" t="s">
        <v>445</v>
      </c>
      <c r="E74" s="8"/>
      <c r="F74" s="7" t="s">
        <v>317</v>
      </c>
      <c r="G74" s="7" t="str">
        <f t="shared" si="3"/>
        <v>text</v>
      </c>
      <c r="H74" s="26"/>
      <c r="I74" s="10"/>
      <c r="J74" s="11" t="s">
        <v>544</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1.5">
      <c r="A75" s="4"/>
      <c r="B75" s="21">
        <f t="shared" si="2"/>
        <v>63</v>
      </c>
      <c r="C75" s="13" t="s">
        <v>446</v>
      </c>
      <c r="D75" s="13" t="s">
        <v>447</v>
      </c>
      <c r="E75" s="7"/>
      <c r="F75" s="7" t="s">
        <v>317</v>
      </c>
      <c r="G75" s="7" t="str">
        <f t="shared" si="3"/>
        <v>text</v>
      </c>
      <c r="H75" s="58"/>
      <c r="I75" s="23"/>
      <c r="J75" s="24" t="s">
        <v>544</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c r="A76" s="4"/>
      <c r="B76" s="21">
        <f t="shared" si="2"/>
        <v>64</v>
      </c>
      <c r="C76" s="6" t="s">
        <v>448</v>
      </c>
      <c r="D76" s="6" t="s">
        <v>449</v>
      </c>
      <c r="E76" s="8"/>
      <c r="F76" s="7" t="s">
        <v>317</v>
      </c>
      <c r="G76" s="7" t="str">
        <f t="shared" si="3"/>
        <v>text</v>
      </c>
      <c r="H76" s="26"/>
      <c r="I76" s="10"/>
      <c r="J76" s="11" t="s">
        <v>544</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1.5">
      <c r="A77" s="4"/>
      <c r="B77" s="21">
        <f t="shared" si="2"/>
        <v>65</v>
      </c>
      <c r="C77" s="13" t="s">
        <v>372</v>
      </c>
      <c r="D77" s="13" t="s">
        <v>450</v>
      </c>
      <c r="E77" s="7"/>
      <c r="F77" s="7" t="s">
        <v>317</v>
      </c>
      <c r="G77" s="7" t="str">
        <f t="shared" si="3"/>
        <v>text</v>
      </c>
      <c r="H77" s="58"/>
      <c r="I77" s="23"/>
      <c r="J77" s="24" t="s">
        <v>544</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1.5">
      <c r="A78" s="4"/>
      <c r="B78" s="21">
        <f t="shared" si="2"/>
        <v>66</v>
      </c>
      <c r="C78" s="6" t="s">
        <v>451</v>
      </c>
      <c r="D78" s="6" t="s">
        <v>452</v>
      </c>
      <c r="E78" s="8"/>
      <c r="F78" s="7" t="s">
        <v>317</v>
      </c>
      <c r="G78" s="7" t="str">
        <f t="shared" si="3"/>
        <v>text</v>
      </c>
      <c r="H78" s="26"/>
      <c r="I78" s="10"/>
      <c r="J78" s="11" t="s">
        <v>544</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453</v>
      </c>
      <c r="D79" s="13" t="s">
        <v>454</v>
      </c>
      <c r="E79" s="7"/>
      <c r="F79" s="7" t="s">
        <v>317</v>
      </c>
      <c r="G79" s="7" t="str">
        <f t="shared" si="3"/>
        <v>text</v>
      </c>
      <c r="H79" s="58"/>
      <c r="I79" s="23"/>
      <c r="J79" s="24" t="s">
        <v>544</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1.5">
      <c r="A80" s="4"/>
      <c r="B80" s="21">
        <f t="shared" si="2"/>
        <v>68</v>
      </c>
      <c r="C80" s="13" t="s">
        <v>374</v>
      </c>
      <c r="D80" s="13" t="s">
        <v>455</v>
      </c>
      <c r="E80" s="7"/>
      <c r="F80" s="7" t="s">
        <v>317</v>
      </c>
      <c r="G80" s="7" t="str">
        <f t="shared" si="3"/>
        <v>text</v>
      </c>
      <c r="H80" s="58"/>
      <c r="I80" s="23"/>
      <c r="J80" s="24" t="s">
        <v>544</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1.5">
      <c r="A81" s="4"/>
      <c r="B81" s="21">
        <f t="shared" si="2"/>
        <v>69</v>
      </c>
      <c r="C81" s="13" t="s">
        <v>456</v>
      </c>
      <c r="D81" s="13" t="s">
        <v>457</v>
      </c>
      <c r="E81" s="7"/>
      <c r="F81" s="7" t="s">
        <v>317</v>
      </c>
      <c r="G81" s="7" t="str">
        <f t="shared" si="3"/>
        <v>text</v>
      </c>
      <c r="H81" s="58"/>
      <c r="I81" s="23"/>
      <c r="J81" s="24" t="s">
        <v>544</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1.5">
      <c r="A83" s="4"/>
      <c r="B83" s="21">
        <f t="shared" si="2"/>
        <v>71</v>
      </c>
      <c r="C83" s="13" t="s">
        <v>446</v>
      </c>
      <c r="D83" s="13" t="s">
        <v>460</v>
      </c>
      <c r="E83" s="7"/>
      <c r="F83" s="7" t="s">
        <v>317</v>
      </c>
      <c r="G83" s="7" t="str">
        <f t="shared" si="3"/>
        <v>text</v>
      </c>
      <c r="H83" s="58"/>
      <c r="I83" s="23"/>
      <c r="J83" s="24" t="s">
        <v>544</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1.5">
      <c r="A84" s="4"/>
      <c r="B84" s="21">
        <f t="shared" si="2"/>
        <v>72</v>
      </c>
      <c r="C84" s="6" t="s">
        <v>461</v>
      </c>
      <c r="D84" s="6" t="s">
        <v>462</v>
      </c>
      <c r="E84" s="8"/>
      <c r="F84" s="7" t="s">
        <v>317</v>
      </c>
      <c r="G84" s="7" t="str">
        <f t="shared" si="3"/>
        <v>text</v>
      </c>
      <c r="H84" s="26"/>
      <c r="I84" s="10"/>
      <c r="J84" s="11" t="s">
        <v>544</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1.5">
      <c r="A85" s="4"/>
      <c r="B85" s="21">
        <f t="shared" si="2"/>
        <v>73</v>
      </c>
      <c r="C85" s="13" t="s">
        <v>372</v>
      </c>
      <c r="D85" s="13" t="s">
        <v>463</v>
      </c>
      <c r="E85" s="7"/>
      <c r="F85" s="7" t="s">
        <v>317</v>
      </c>
      <c r="G85" s="7" t="str">
        <f t="shared" si="3"/>
        <v>text</v>
      </c>
      <c r="H85" s="58"/>
      <c r="I85" s="23"/>
      <c r="J85" s="24" t="s">
        <v>544</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1.5">
      <c r="A86" s="4"/>
      <c r="B86" s="21">
        <f t="shared" si="2"/>
        <v>74</v>
      </c>
      <c r="C86" s="6" t="s">
        <v>451</v>
      </c>
      <c r="D86" s="6" t="s">
        <v>464</v>
      </c>
      <c r="E86" s="8"/>
      <c r="F86" s="7" t="s">
        <v>317</v>
      </c>
      <c r="G86" s="7" t="str">
        <f t="shared" si="3"/>
        <v>text</v>
      </c>
      <c r="H86" s="26"/>
      <c r="I86" s="10"/>
      <c r="J86" s="11" t="s">
        <v>544</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465</v>
      </c>
      <c r="D87" s="6" t="s">
        <v>466</v>
      </c>
      <c r="E87" s="8"/>
      <c r="F87" s="7" t="s">
        <v>317</v>
      </c>
      <c r="G87" s="7" t="str">
        <f t="shared" si="3"/>
        <v>text</v>
      </c>
      <c r="H87" s="26"/>
      <c r="I87" s="10"/>
      <c r="J87" s="11" t="s">
        <v>544</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1.5">
      <c r="A88" s="4"/>
      <c r="B88" s="21">
        <f t="shared" si="2"/>
        <v>76</v>
      </c>
      <c r="C88" s="13" t="s">
        <v>374</v>
      </c>
      <c r="D88" s="13" t="s">
        <v>467</v>
      </c>
      <c r="E88" s="7"/>
      <c r="F88" s="7" t="s">
        <v>317</v>
      </c>
      <c r="G88" s="7" t="str">
        <f t="shared" si="3"/>
        <v>text</v>
      </c>
      <c r="H88" s="58"/>
      <c r="I88" s="23"/>
      <c r="J88" s="24" t="s">
        <v>544</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1.5">
      <c r="A89" s="4"/>
      <c r="B89" s="21">
        <f t="shared" si="2"/>
        <v>77</v>
      </c>
      <c r="C89" s="6" t="s">
        <v>468</v>
      </c>
      <c r="D89" s="6" t="s">
        <v>469</v>
      </c>
      <c r="E89" s="8"/>
      <c r="F89" s="7" t="s">
        <v>317</v>
      </c>
      <c r="G89" s="7" t="str">
        <f t="shared" si="3"/>
        <v>text</v>
      </c>
      <c r="H89" s="26"/>
      <c r="I89" s="10"/>
      <c r="J89" s="11" t="s">
        <v>544</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7.5">
      <c r="A91" s="4"/>
      <c r="B91" s="21">
        <f t="shared" si="2"/>
        <v>79</v>
      </c>
      <c r="C91" s="6" t="s">
        <v>398</v>
      </c>
      <c r="D91" s="6" t="s">
        <v>471</v>
      </c>
      <c r="E91" s="8"/>
      <c r="F91" s="7" t="s">
        <v>317</v>
      </c>
      <c r="G91" s="7" t="str">
        <f t="shared" si="3"/>
        <v>text</v>
      </c>
      <c r="H91" s="26"/>
      <c r="I91" s="10"/>
      <c r="J91" s="11" t="s">
        <v>547</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c r="A95" s="4"/>
      <c r="B95" s="21">
        <f t="shared" si="2"/>
        <v>83</v>
      </c>
      <c r="C95" s="6" t="s">
        <v>406</v>
      </c>
      <c r="D95" s="6" t="s">
        <v>475</v>
      </c>
      <c r="E95" s="8"/>
      <c r="F95" s="7" t="s">
        <v>317</v>
      </c>
      <c r="G95" s="7" t="str">
        <f t="shared" si="3"/>
        <v>text</v>
      </c>
      <c r="H95" s="26"/>
      <c r="I95" s="10"/>
      <c r="J95" s="11" t="s">
        <v>548</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7.5">
      <c r="A98" s="4"/>
      <c r="B98" s="21">
        <f t="shared" si="2"/>
        <v>86</v>
      </c>
      <c r="C98" s="13" t="s">
        <v>398</v>
      </c>
      <c r="D98" s="13" t="s">
        <v>478</v>
      </c>
      <c r="E98" s="7"/>
      <c r="F98" s="7" t="s">
        <v>317</v>
      </c>
      <c r="G98" s="7" t="str">
        <f t="shared" si="3"/>
        <v>text</v>
      </c>
      <c r="H98" s="58"/>
      <c r="I98" s="23"/>
      <c r="J98" s="24" t="s">
        <v>547</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1.5">
      <c r="A100" s="4"/>
      <c r="B100" s="21">
        <f t="shared" si="2"/>
        <v>88</v>
      </c>
      <c r="C100" s="13" t="s">
        <v>415</v>
      </c>
      <c r="D100" s="13" t="s">
        <v>480</v>
      </c>
      <c r="E100" s="7"/>
      <c r="F100" s="7" t="s">
        <v>317</v>
      </c>
      <c r="G100" s="7" t="str">
        <f t="shared" si="3"/>
        <v>text</v>
      </c>
      <c r="H100" s="58"/>
      <c r="I100" s="23"/>
      <c r="J100" s="24" t="s">
        <v>553</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417</v>
      </c>
      <c r="D101" s="6" t="s">
        <v>481</v>
      </c>
      <c r="E101" s="8"/>
      <c r="F101" s="7" t="s">
        <v>317</v>
      </c>
      <c r="G101" s="7" t="str">
        <f t="shared" si="3"/>
        <v>text</v>
      </c>
      <c r="H101" s="26"/>
      <c r="I101" s="10"/>
      <c r="J101" s="11" t="s">
        <v>552</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419</v>
      </c>
      <c r="D102" s="13" t="s">
        <v>482</v>
      </c>
      <c r="E102" s="7"/>
      <c r="F102" s="7" t="s">
        <v>317</v>
      </c>
      <c r="G102" s="7" t="str">
        <f t="shared" si="3"/>
        <v>text</v>
      </c>
      <c r="H102" s="58"/>
      <c r="I102" s="23"/>
      <c r="J102" s="24" t="s">
        <v>552</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1.5">
      <c r="A106" s="4"/>
      <c r="B106" s="21">
        <f t="shared" si="2"/>
        <v>94</v>
      </c>
      <c r="C106" s="6" t="s">
        <v>425</v>
      </c>
      <c r="D106" s="6" t="s">
        <v>486</v>
      </c>
      <c r="E106" s="8"/>
      <c r="F106" s="7" t="s">
        <v>317</v>
      </c>
      <c r="G106" s="7" t="str">
        <f t="shared" si="3"/>
        <v>text</v>
      </c>
      <c r="H106" s="26"/>
      <c r="I106" s="10"/>
      <c r="J106" s="11" t="s">
        <v>554</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427</v>
      </c>
      <c r="D107" s="13" t="s">
        <v>487</v>
      </c>
      <c r="E107" s="7"/>
      <c r="F107" s="7" t="s">
        <v>317</v>
      </c>
      <c r="G107" s="7" t="str">
        <f t="shared" si="3"/>
        <v>text</v>
      </c>
      <c r="H107" s="58"/>
      <c r="I107" s="23"/>
      <c r="J107" s="24" t="s">
        <v>554</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429</v>
      </c>
      <c r="D108" s="6" t="s">
        <v>488</v>
      </c>
      <c r="E108" s="8"/>
      <c r="F108" s="7" t="s">
        <v>317</v>
      </c>
      <c r="G108" s="7" t="str">
        <f t="shared" si="3"/>
        <v>text</v>
      </c>
      <c r="H108" s="26"/>
      <c r="I108" s="10"/>
      <c r="J108" s="11" t="s">
        <v>554</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364</v>
      </c>
      <c r="D109" s="13" t="s">
        <v>489</v>
      </c>
      <c r="E109" s="7"/>
      <c r="F109" s="7" t="s">
        <v>317</v>
      </c>
      <c r="G109" s="7" t="str">
        <f t="shared" si="3"/>
        <v>text</v>
      </c>
      <c r="H109" s="58"/>
      <c r="I109" s="23"/>
      <c r="J109" s="24" t="s">
        <v>556</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370</v>
      </c>
      <c r="D113" s="13" t="s">
        <v>494</v>
      </c>
      <c r="E113" s="7"/>
      <c r="F113" s="7" t="s">
        <v>317</v>
      </c>
      <c r="G113" s="7" t="str">
        <f t="shared" si="3"/>
        <v>text</v>
      </c>
      <c r="H113" s="58"/>
      <c r="I113" s="23"/>
      <c r="J113" s="24" t="s">
        <v>544</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446</v>
      </c>
      <c r="D114" s="13" t="s">
        <v>495</v>
      </c>
      <c r="E114" s="7"/>
      <c r="F114" s="7" t="s">
        <v>317</v>
      </c>
      <c r="G114" s="7" t="str">
        <f t="shared" si="3"/>
        <v>text</v>
      </c>
      <c r="H114" s="58"/>
      <c r="I114" s="23"/>
      <c r="J114" s="24" t="s">
        <v>544</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c r="A115" s="4"/>
      <c r="B115" s="21">
        <f t="shared" si="2"/>
        <v>103</v>
      </c>
      <c r="C115" s="13" t="s">
        <v>448</v>
      </c>
      <c r="D115" s="13" t="s">
        <v>496</v>
      </c>
      <c r="E115" s="7"/>
      <c r="F115" s="7" t="s">
        <v>317</v>
      </c>
      <c r="G115" s="7" t="str">
        <f t="shared" si="3"/>
        <v>text</v>
      </c>
      <c r="H115" s="58"/>
      <c r="I115" s="23"/>
      <c r="J115" s="24" t="s">
        <v>544</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372</v>
      </c>
      <c r="D116" s="6" t="s">
        <v>497</v>
      </c>
      <c r="E116" s="8"/>
      <c r="F116" s="7" t="s">
        <v>317</v>
      </c>
      <c r="G116" s="7" t="str">
        <f t="shared" si="3"/>
        <v>text</v>
      </c>
      <c r="H116" s="26"/>
      <c r="I116" s="10"/>
      <c r="J116" s="11" t="s">
        <v>544</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451</v>
      </c>
      <c r="D117" s="13" t="s">
        <v>498</v>
      </c>
      <c r="E117" s="7"/>
      <c r="F117" s="7" t="s">
        <v>317</v>
      </c>
      <c r="G117" s="7" t="str">
        <f t="shared" si="3"/>
        <v>text</v>
      </c>
      <c r="H117" s="58"/>
      <c r="I117" s="23"/>
      <c r="J117" s="24" t="s">
        <v>544</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453</v>
      </c>
      <c r="D118" s="6" t="s">
        <v>499</v>
      </c>
      <c r="E118" s="8"/>
      <c r="F118" s="7" t="s">
        <v>317</v>
      </c>
      <c r="G118" s="7" t="str">
        <f t="shared" si="3"/>
        <v>text</v>
      </c>
      <c r="H118" s="26"/>
      <c r="I118" s="10"/>
      <c r="J118" s="11" t="s">
        <v>544</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374</v>
      </c>
      <c r="D119" s="13" t="s">
        <v>500</v>
      </c>
      <c r="E119" s="7"/>
      <c r="F119" s="7" t="s">
        <v>317</v>
      </c>
      <c r="G119" s="7" t="str">
        <f t="shared" si="3"/>
        <v>text</v>
      </c>
      <c r="H119" s="58"/>
      <c r="I119" s="23"/>
      <c r="J119" s="24" t="s">
        <v>544</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456</v>
      </c>
      <c r="D120" s="6" t="s">
        <v>501</v>
      </c>
      <c r="E120" s="8"/>
      <c r="F120" s="7" t="s">
        <v>317</v>
      </c>
      <c r="G120" s="7" t="str">
        <f t="shared" si="3"/>
        <v>text</v>
      </c>
      <c r="H120" s="26"/>
      <c r="I120" s="10"/>
      <c r="J120" s="11" t="s">
        <v>544</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68.75">
      <c r="A122" s="4"/>
      <c r="B122" s="21">
        <f t="shared" si="2"/>
        <v>110</v>
      </c>
      <c r="C122" s="6" t="s">
        <v>364</v>
      </c>
      <c r="D122" s="6" t="s">
        <v>503</v>
      </c>
      <c r="E122" s="8"/>
      <c r="F122" s="7" t="s">
        <v>317</v>
      </c>
      <c r="G122" s="7" t="str">
        <f t="shared" si="3"/>
        <v>text</v>
      </c>
      <c r="H122" s="26"/>
      <c r="I122" s="10"/>
      <c r="J122" s="11" t="s">
        <v>543</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31.5">
      <c r="A124" s="4"/>
      <c r="B124" s="21">
        <f t="shared" si="2"/>
        <v>112</v>
      </c>
      <c r="C124" s="13" t="s">
        <v>505</v>
      </c>
      <c r="D124" s="13" t="s">
        <v>506</v>
      </c>
      <c r="E124" s="7"/>
      <c r="F124" s="7" t="s">
        <v>317</v>
      </c>
      <c r="G124" s="7" t="str">
        <f t="shared" si="3"/>
        <v>text</v>
      </c>
      <c r="H124" s="58"/>
      <c r="I124" s="23"/>
      <c r="J124" s="24" t="s">
        <v>544</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370</v>
      </c>
      <c r="D126" s="13" t="s">
        <v>509</v>
      </c>
      <c r="E126" s="7"/>
      <c r="F126" s="7" t="s">
        <v>317</v>
      </c>
      <c r="G126" s="7" t="str">
        <f t="shared" si="3"/>
        <v>text</v>
      </c>
      <c r="H126" s="58"/>
      <c r="I126" s="23"/>
      <c r="J126" s="24" t="s">
        <v>544</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446</v>
      </c>
      <c r="D127" s="13" t="s">
        <v>510</v>
      </c>
      <c r="E127" s="7"/>
      <c r="F127" s="7" t="s">
        <v>317</v>
      </c>
      <c r="G127" s="7" t="str">
        <f t="shared" si="3"/>
        <v>text</v>
      </c>
      <c r="H127" s="58"/>
      <c r="I127" s="23"/>
      <c r="J127" s="24" t="s">
        <v>544</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c r="A128" s="4"/>
      <c r="B128" s="21">
        <f t="shared" si="2"/>
        <v>116</v>
      </c>
      <c r="C128" s="13" t="s">
        <v>448</v>
      </c>
      <c r="D128" s="13" t="s">
        <v>511</v>
      </c>
      <c r="E128" s="7"/>
      <c r="F128" s="7" t="s">
        <v>317</v>
      </c>
      <c r="G128" s="7" t="str">
        <f t="shared" si="3"/>
        <v>text</v>
      </c>
      <c r="H128" s="58"/>
      <c r="I128" s="23"/>
      <c r="J128" s="24" t="s">
        <v>544</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372</v>
      </c>
      <c r="D129" s="6" t="s">
        <v>512</v>
      </c>
      <c r="E129" s="8"/>
      <c r="F129" s="7" t="s">
        <v>317</v>
      </c>
      <c r="G129" s="7" t="str">
        <f t="shared" si="3"/>
        <v>text</v>
      </c>
      <c r="H129" s="26"/>
      <c r="I129" s="10"/>
      <c r="J129" s="11" t="s">
        <v>544</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451</v>
      </c>
      <c r="D130" s="13" t="s">
        <v>513</v>
      </c>
      <c r="E130" s="7"/>
      <c r="F130" s="7" t="s">
        <v>317</v>
      </c>
      <c r="G130" s="7" t="str">
        <f t="shared" si="3"/>
        <v>text</v>
      </c>
      <c r="H130" s="58"/>
      <c r="I130" s="23"/>
      <c r="J130" s="24" t="s">
        <v>544</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465</v>
      </c>
      <c r="D131" s="6" t="s">
        <v>514</v>
      </c>
      <c r="E131" s="8"/>
      <c r="F131" s="7" t="s">
        <v>317</v>
      </c>
      <c r="G131" s="7" t="str">
        <f t="shared" si="3"/>
        <v>text</v>
      </c>
      <c r="H131" s="26"/>
      <c r="I131" s="10"/>
      <c r="J131" s="11" t="s">
        <v>544</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374</v>
      </c>
      <c r="D132" s="13" t="s">
        <v>515</v>
      </c>
      <c r="E132" s="7"/>
      <c r="F132" s="7" t="s">
        <v>317</v>
      </c>
      <c r="G132" s="7" t="str">
        <f t="shared" si="3"/>
        <v>text</v>
      </c>
      <c r="H132" s="58"/>
      <c r="I132" s="23"/>
      <c r="J132" s="24" t="s">
        <v>544</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468</v>
      </c>
      <c r="D133" s="6" t="s">
        <v>516</v>
      </c>
      <c r="E133" s="8"/>
      <c r="F133" s="7" t="s">
        <v>317</v>
      </c>
      <c r="G133" s="7" t="str">
        <f t="shared" si="3"/>
        <v>text</v>
      </c>
      <c r="H133" s="26"/>
      <c r="I133" s="10"/>
      <c r="J133" s="11" t="s">
        <v>544</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7.5">
      <c r="A135" s="4"/>
      <c r="B135" s="21">
        <f t="shared" si="2"/>
        <v>123</v>
      </c>
      <c r="C135" s="6" t="s">
        <v>398</v>
      </c>
      <c r="D135" s="6" t="s">
        <v>518</v>
      </c>
      <c r="E135" s="8"/>
      <c r="F135" s="7" t="s">
        <v>317</v>
      </c>
      <c r="G135" s="7" t="str">
        <f t="shared" si="3"/>
        <v>text</v>
      </c>
      <c r="H135" s="26"/>
      <c r="I135" s="10"/>
      <c r="J135" s="11" t="s">
        <v>547</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c r="A139" s="4"/>
      <c r="B139" s="21">
        <f t="shared" si="2"/>
        <v>127</v>
      </c>
      <c r="C139" s="13" t="s">
        <v>406</v>
      </c>
      <c r="D139" s="13" t="s">
        <v>522</v>
      </c>
      <c r="E139" s="7"/>
      <c r="F139" s="7" t="s">
        <v>317</v>
      </c>
      <c r="G139" s="7" t="str">
        <f t="shared" si="3"/>
        <v>text</v>
      </c>
      <c r="H139" s="58"/>
      <c r="I139" s="23"/>
      <c r="J139" s="24" t="s">
        <v>548</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7.5">
      <c r="A142" s="4"/>
      <c r="B142" s="21">
        <f t="shared" si="2"/>
        <v>130</v>
      </c>
      <c r="C142" s="6" t="s">
        <v>398</v>
      </c>
      <c r="D142" s="6" t="s">
        <v>526</v>
      </c>
      <c r="E142" s="8"/>
      <c r="F142" s="7" t="s">
        <v>317</v>
      </c>
      <c r="G142" s="7" t="str">
        <f t="shared" si="3"/>
        <v>text</v>
      </c>
      <c r="H142" s="26"/>
      <c r="I142" s="10"/>
      <c r="J142" s="11" t="s">
        <v>547</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1.5">
      <c r="A144" s="4"/>
      <c r="B144" s="21">
        <f t="shared" si="2"/>
        <v>132</v>
      </c>
      <c r="C144" s="6" t="s">
        <v>415</v>
      </c>
      <c r="D144" s="6" t="s">
        <v>528</v>
      </c>
      <c r="E144" s="8"/>
      <c r="F144" s="7" t="s">
        <v>317</v>
      </c>
      <c r="G144" s="7" t="str">
        <f t="shared" si="3"/>
        <v>text</v>
      </c>
      <c r="H144" s="26"/>
      <c r="I144" s="10"/>
      <c r="J144" s="11" t="s">
        <v>553</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417</v>
      </c>
      <c r="D145" s="13" t="s">
        <v>529</v>
      </c>
      <c r="E145" s="7"/>
      <c r="F145" s="7" t="s">
        <v>317</v>
      </c>
      <c r="G145" s="7" t="str">
        <f t="shared" si="3"/>
        <v>text</v>
      </c>
      <c r="H145" s="58"/>
      <c r="I145" s="23"/>
      <c r="J145" s="24" t="s">
        <v>552</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419</v>
      </c>
      <c r="D146" s="6" t="s">
        <v>530</v>
      </c>
      <c r="E146" s="8"/>
      <c r="F146" s="7" t="s">
        <v>317</v>
      </c>
      <c r="G146" s="7" t="str">
        <f t="shared" si="3"/>
        <v>text</v>
      </c>
      <c r="H146" s="26"/>
      <c r="I146" s="10"/>
      <c r="J146" s="11" t="s">
        <v>552</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1.5">
      <c r="A150" s="4"/>
      <c r="B150" s="21">
        <f t="shared" si="2"/>
        <v>138</v>
      </c>
      <c r="C150" s="13" t="s">
        <v>425</v>
      </c>
      <c r="D150" s="13" t="s">
        <v>534</v>
      </c>
      <c r="E150" s="7"/>
      <c r="F150" s="7" t="s">
        <v>317</v>
      </c>
      <c r="G150" s="7" t="str">
        <f t="shared" si="3"/>
        <v>text</v>
      </c>
      <c r="H150" s="58"/>
      <c r="I150" s="23"/>
      <c r="J150" s="24" t="s">
        <v>554</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427</v>
      </c>
      <c r="D151" s="13" t="s">
        <v>535</v>
      </c>
      <c r="E151" s="7"/>
      <c r="F151" s="7" t="s">
        <v>317</v>
      </c>
      <c r="G151" s="7" t="str">
        <f t="shared" si="3"/>
        <v>text</v>
      </c>
      <c r="H151" s="58"/>
      <c r="I151" s="23"/>
      <c r="J151" s="24" t="s">
        <v>554</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429</v>
      </c>
      <c r="D152" s="13" t="s">
        <v>536</v>
      </c>
      <c r="E152" s="7"/>
      <c r="F152" s="7" t="s">
        <v>317</v>
      </c>
      <c r="G152" s="7" t="str">
        <f t="shared" si="3"/>
        <v>text</v>
      </c>
      <c r="H152" s="58"/>
      <c r="I152" s="23"/>
      <c r="J152" s="24" t="s">
        <v>554</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537</v>
      </c>
      <c r="D153" s="57" t="s">
        <v>538</v>
      </c>
      <c r="E153" s="56"/>
      <c r="F153" s="56" t="s">
        <v>317</v>
      </c>
      <c r="G153" s="56" t="str">
        <f t="shared" si="3"/>
        <v>text</v>
      </c>
      <c r="H153" s="59"/>
      <c r="I153" s="60"/>
      <c r="J153" s="61" t="s">
        <v>557</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ENT_01_C1-05</v>
      </c>
      <c r="E6" s="240"/>
      <c r="F6" s="240"/>
      <c r="G6" s="240"/>
      <c r="H6" s="240"/>
      <c r="I6" s="240"/>
      <c r="J6" s="241"/>
    </row>
    <row r="7" spans="1:45">
      <c r="B7" s="229" t="s">
        <v>115</v>
      </c>
      <c r="C7" s="230"/>
      <c r="D7" s="231" t="s">
        <v>181</v>
      </c>
      <c r="E7" s="232"/>
      <c r="F7" s="232"/>
      <c r="G7" s="232"/>
      <c r="H7" s="232"/>
      <c r="I7" s="232"/>
      <c r="J7" s="233"/>
    </row>
    <row r="8" spans="1:45">
      <c r="B8" s="229" t="s">
        <v>116</v>
      </c>
      <c r="C8" s="230"/>
      <c r="D8" s="231" t="str">
        <f>エンティティ一覧!AE2&amp;"_"&amp;D5&amp;"_merge_dpc_ff1"</f>
        <v>sny_202310_backup_merge_dpc_ff1</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milscm_2023_009.sny_202310_backup_merge_dpc_ff1;</v>
      </c>
      <c r="O10" s="76"/>
      <c r="P10" s="76"/>
      <c r="Q10" s="76"/>
      <c r="R10" s="76"/>
      <c r="S10" s="76"/>
      <c r="T10" s="76"/>
      <c r="AJ10" s="76" t="str">
        <f>"ALTER TABLE ONLY "&amp;エンティティ一覧!$O$2&amp;"."&amp;D$8</f>
        <v>ALTER TABLE ONLY milscm_2023_009.sny_202310_backup_merge_dpc_ff1</v>
      </c>
      <c r="AS10" s="76" t="str">
        <f>"ALTER TABLE "&amp;エンティティ一覧!$O$2&amp;"."&amp;D$8&amp;" OWNER TO pgmisgrp1;"</f>
        <v>ALTER TABLE milscm_2023_009.sny_202310_backup_merge_dpc_ff1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v>
      </c>
      <c r="O11" s="76"/>
      <c r="P11" s="76"/>
      <c r="Q11" s="76"/>
      <c r="R11" s="76"/>
      <c r="S11" s="76"/>
      <c r="T11" s="76"/>
      <c r="AJ11" s="76" t="str">
        <f>"ADD CONSTRAINT "&amp;D$8&amp;"_pkey PRIMARY KEY"</f>
        <v>ADD CONSTRAINT sny_202310_backup_merge_dpc_ff1_pkey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milscm_2023_009.sny_202310_backup_merge_dpc_ff1.facility_id IS '施設ID';</v>
      </c>
    </row>
    <row r="16" spans="1:45" s="25" customFormat="1" ht="93.75">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900</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808</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1.5">
      <c r="A47" s="4"/>
      <c r="B47" s="21">
        <f t="shared" si="2"/>
        <v>35</v>
      </c>
      <c r="C47" s="13" t="s">
        <v>609</v>
      </c>
      <c r="D47" s="13" t="s">
        <v>610</v>
      </c>
      <c r="E47" s="7"/>
      <c r="F47" s="7" t="s">
        <v>317</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ENT_01_C1-07</v>
      </c>
      <c r="E6" s="240"/>
      <c r="F6" s="240"/>
      <c r="G6" s="240"/>
      <c r="H6" s="240"/>
      <c r="I6" s="240"/>
      <c r="J6" s="241"/>
    </row>
    <row r="7" spans="1:45">
      <c r="B7" s="229" t="s">
        <v>115</v>
      </c>
      <c r="C7" s="230"/>
      <c r="D7" s="231" t="s">
        <v>314</v>
      </c>
      <c r="E7" s="232"/>
      <c r="F7" s="232"/>
      <c r="G7" s="232"/>
      <c r="H7" s="232"/>
      <c r="I7" s="232"/>
      <c r="J7" s="233"/>
    </row>
    <row r="8" spans="1:45">
      <c r="B8" s="229" t="s">
        <v>116</v>
      </c>
      <c r="C8" s="230"/>
      <c r="D8" s="231" t="str">
        <f>エンティティ一覧!AE2&amp;"_"&amp;D5&amp;"_merge_dpc_ff1_a006040"</f>
        <v>sny_202310_backup_merge_dpc_ff1_a006040</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milscm_2023_009.sny_202310_backup_merge_dpc_ff1_a006040;</v>
      </c>
      <c r="O10" s="76"/>
      <c r="P10" s="76"/>
      <c r="Q10" s="76"/>
      <c r="R10" s="76"/>
      <c r="S10" s="76"/>
      <c r="T10" s="76"/>
      <c r="AJ10" s="76" t="str">
        <f>"ALTER TABLE ONLY "&amp;エンティティ一覧!$O$2&amp;"."&amp;D$8</f>
        <v>ALTER TABLE ONLY milscm_2023_009.sny_202310_backup_merge_dpc_ff1_a006040</v>
      </c>
      <c r="AS10" s="76" t="str">
        <f>"ALTER TABLE "&amp;エンティティ一覧!$O$2&amp;"."&amp;D$8&amp;" OWNER TO pgmisgrp1;"</f>
        <v>ALTER TABLE milscm_2023_009.sny_202310_backup_merge_dpc_ff1_a006040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milscm_2023_009.sny_202310_backup_merge_dpc_ff1_a006040</v>
      </c>
      <c r="O11" s="76"/>
      <c r="P11" s="76"/>
      <c r="Q11" s="76"/>
      <c r="R11" s="76"/>
      <c r="S11" s="76"/>
      <c r="T11" s="76"/>
      <c r="AJ11" s="76" t="str">
        <f>"ADD CONSTRAINT "&amp;D$8&amp;"_pkey PRIMARY KEY"</f>
        <v>ADD CONSTRAINT sny_202310_backup_merge_dpc_ff1_a006040_pkey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4" t="s">
        <v>882</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ENT_01_C1-08</v>
      </c>
      <c r="E6" s="240"/>
      <c r="F6" s="240"/>
      <c r="G6" s="240"/>
      <c r="H6" s="240"/>
      <c r="I6" s="240"/>
      <c r="J6" s="241"/>
    </row>
    <row r="7" spans="1:45">
      <c r="B7" s="229" t="s">
        <v>115</v>
      </c>
      <c r="C7" s="230"/>
      <c r="D7" s="231" t="s">
        <v>315</v>
      </c>
      <c r="E7" s="232"/>
      <c r="F7" s="232"/>
      <c r="G7" s="232"/>
      <c r="H7" s="232"/>
      <c r="I7" s="232"/>
      <c r="J7" s="233"/>
    </row>
    <row r="8" spans="1:45">
      <c r="B8" s="229" t="s">
        <v>116</v>
      </c>
      <c r="C8" s="230"/>
      <c r="D8" s="231" t="str">
        <f>エンティティ一覧!AE2&amp;"_"&amp;D5&amp;"_merge_dpc_ff1_a006050"</f>
        <v>sny_202310_backup_merge_dpc_ff1_a006050</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milscm_2023_009.sny_202310_backup_merge_dpc_ff1_a006050;</v>
      </c>
      <c r="O10" s="76"/>
      <c r="P10" s="76"/>
      <c r="Q10" s="76"/>
      <c r="R10" s="76"/>
      <c r="S10" s="76"/>
      <c r="T10" s="76"/>
      <c r="AJ10" s="76" t="str">
        <f>"ALTER TABLE ONLY "&amp;エンティティ一覧!$O$2&amp;"."&amp;D$8</f>
        <v>ALTER TABLE ONLY milscm_2023_009.sny_202310_backup_merge_dpc_ff1_a006050</v>
      </c>
      <c r="AS10" s="76" t="str">
        <f>"ALTER TABLE "&amp;エンティティ一覧!$O$2&amp;"."&amp;D$8&amp;" OWNER TO pgmisgrp1;"</f>
        <v>ALTER TABLE milscm_2023_009.sny_202310_backup_merge_dpc_ff1_a006050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milscm_2023_009.sny_202310_backup_merge_dpc_ff1_a006050</v>
      </c>
      <c r="O11" s="76"/>
      <c r="P11" s="76"/>
      <c r="Q11" s="76"/>
      <c r="R11" s="76"/>
      <c r="S11" s="76"/>
      <c r="T11" s="76"/>
      <c r="AJ11" s="76" t="str">
        <f>"ADD CONSTRAINT "&amp;D$8&amp;"_pkey PRIMARY KEY"</f>
        <v>ADD CONSTRAINT sny_202310_backup_merge_dpc_ff1_a006050_pkey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ENT_01_C2-01</v>
      </c>
      <c r="E6" s="240"/>
      <c r="F6" s="240"/>
      <c r="G6" s="240"/>
      <c r="H6" s="240"/>
      <c r="I6" s="240"/>
      <c r="J6" s="241"/>
    </row>
    <row r="7" spans="1:45">
      <c r="B7" s="229" t="s">
        <v>115</v>
      </c>
      <c r="C7" s="230"/>
      <c r="D7" s="231" t="s">
        <v>905</v>
      </c>
      <c r="E7" s="232"/>
      <c r="F7" s="232"/>
      <c r="G7" s="232"/>
      <c r="H7" s="232"/>
      <c r="I7" s="232"/>
      <c r="J7" s="233"/>
    </row>
    <row r="8" spans="1:45">
      <c r="B8" s="229" t="s">
        <v>116</v>
      </c>
      <c r="C8" s="230"/>
      <c r="D8" s="231" t="str">
        <f>エンティティ一覧!AE2&amp;"_"&amp;D5&amp;"_merge_receiptc_ir"</f>
        <v>sny_202310_backup_merge_receiptc_ir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milscm_2023_009.sny_202310_backup_merge_receiptc_ir;</v>
      </c>
      <c r="O10" s="76"/>
      <c r="P10" s="76"/>
      <c r="Q10" s="76"/>
      <c r="R10" s="76"/>
      <c r="S10" s="76"/>
      <c r="T10" s="76"/>
      <c r="AJ10" s="76" t="str">
        <f>"ALTER TABLE ONLY "&amp;エンティティ一覧!$O$2&amp;"."&amp;D$8</f>
        <v>ALTER TABLE ONLY milscm_2023_009.sny_202310_backup_merge_receiptc_ir</v>
      </c>
      <c r="AS10" s="76" t="str">
        <f>"ALTER TABLE "&amp;エンティティ一覧!$O$2&amp;"."&amp;D$8&amp;" OWNER TO pgmisgrp1;"</f>
        <v>ALTER TABLE milscm_2023_009.sny_202310_backup_merge_receiptc_ir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milscm_2023_009.sny_202310_backup_merge_receiptc_ir</v>
      </c>
      <c r="O11" s="76"/>
      <c r="P11" s="76"/>
      <c r="Q11" s="76"/>
      <c r="R11" s="76"/>
      <c r="S11" s="76"/>
      <c r="T11" s="76"/>
      <c r="AJ11" s="76" t="str">
        <f>"ADD CONSTRAINT "&amp;D$8&amp;"_pkey PRIMARY KEY"</f>
        <v>ADD CONSTRAINT sny_202310_backup_merge_receiptc_ir_pkey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milscm_2023_009.sny_202310_backup_merge_receiptc_ir.facility_id IS '施設ID';</v>
      </c>
    </row>
    <row r="16" spans="1:45" s="25" customFormat="1" ht="56.25">
      <c r="B16" s="21">
        <f t="shared" si="2"/>
        <v>4</v>
      </c>
      <c r="C16" s="6" t="s">
        <v>906</v>
      </c>
      <c r="D16" s="6" t="s">
        <v>907</v>
      </c>
      <c r="E16" s="8" t="s">
        <v>127</v>
      </c>
      <c r="F16" s="7" t="s">
        <v>865</v>
      </c>
      <c r="G16" s="7" t="str">
        <f t="shared" si="3"/>
        <v>text</v>
      </c>
      <c r="H16" s="26"/>
      <c r="I16" s="10" t="s">
        <v>127</v>
      </c>
      <c r="J16" s="53" t="s">
        <v>933</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939</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865</v>
      </c>
      <c r="G18" s="7" t="str">
        <f t="shared" si="3"/>
        <v>text</v>
      </c>
      <c r="H18" s="26" t="s">
        <v>934</v>
      </c>
      <c r="I18" s="10" t="s">
        <v>127</v>
      </c>
      <c r="J18" s="11"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milscm_2023_009.sny_202310_backup_merge_receiptc_ir.data_type IS 'データ種別';</v>
      </c>
    </row>
    <row r="19" spans="1:52" s="25" customFormat="1">
      <c r="B19" s="21">
        <f t="shared" si="2"/>
        <v>7</v>
      </c>
      <c r="C19" s="13" t="s">
        <v>908</v>
      </c>
      <c r="D19" s="13" t="s">
        <v>909</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910</v>
      </c>
      <c r="D20" s="6" t="s">
        <v>911</v>
      </c>
      <c r="E20" s="8"/>
      <c r="F20" s="7" t="s">
        <v>865</v>
      </c>
      <c r="G20" s="7" t="str">
        <f t="shared" si="3"/>
        <v>text</v>
      </c>
      <c r="H20" s="26" t="s">
        <v>936</v>
      </c>
      <c r="I20" s="10" t="s">
        <v>127</v>
      </c>
      <c r="J20" s="11" t="s">
        <v>937</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912</v>
      </c>
      <c r="D21" s="13" t="s">
        <v>913</v>
      </c>
      <c r="E21" s="7" t="s">
        <v>127</v>
      </c>
      <c r="F21" s="7" t="s">
        <v>204</v>
      </c>
      <c r="G21" s="7" t="str">
        <f t="shared" si="3"/>
        <v>integer</v>
      </c>
      <c r="H21" s="58">
        <v>0</v>
      </c>
      <c r="I21" s="23" t="s">
        <v>127</v>
      </c>
      <c r="J21" s="24" t="s">
        <v>938</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914</v>
      </c>
      <c r="D22" s="6" t="s">
        <v>915</v>
      </c>
      <c r="E22" s="8" t="s">
        <v>127</v>
      </c>
      <c r="F22" s="7" t="s">
        <v>204</v>
      </c>
      <c r="G22" s="7" t="str">
        <f t="shared" si="3"/>
        <v>integer</v>
      </c>
      <c r="H22" s="26">
        <v>0</v>
      </c>
      <c r="I22" s="10" t="s">
        <v>127</v>
      </c>
      <c r="J22" s="11" t="s">
        <v>938</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milscm_2023_009.sny_202310_backup_merge_receiptc_ir.gyo_no IS '行番号';</v>
      </c>
    </row>
    <row r="23" spans="1:52" s="25" customFormat="1">
      <c r="A23" s="4"/>
      <c r="B23" s="21">
        <f t="shared" si="2"/>
        <v>11</v>
      </c>
      <c r="C23" s="13" t="s">
        <v>916</v>
      </c>
      <c r="D23" s="13" t="s">
        <v>917</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918</v>
      </c>
      <c r="D24" s="6" t="s">
        <v>919</v>
      </c>
      <c r="E24" s="8"/>
      <c r="F24" s="7" t="s">
        <v>865</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920</v>
      </c>
      <c r="D25" s="13" t="s">
        <v>921</v>
      </c>
      <c r="E25" s="7"/>
      <c r="F25" s="7" t="s">
        <v>865</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milscm_2023_009.sny_202310_backup_merge_receiptc_ir.tensuhyo IS '点数表';</v>
      </c>
    </row>
    <row r="26" spans="1:52" s="25" customFormat="1">
      <c r="A26" s="4"/>
      <c r="B26" s="21">
        <f t="shared" si="2"/>
        <v>14</v>
      </c>
      <c r="C26" s="6" t="s">
        <v>922</v>
      </c>
      <c r="D26" s="6" t="s">
        <v>923</v>
      </c>
      <c r="E26" s="8"/>
      <c r="F26" s="7" t="s">
        <v>865</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924</v>
      </c>
      <c r="D27" s="6" t="s">
        <v>925</v>
      </c>
      <c r="E27" s="8"/>
      <c r="F27" s="7" t="s">
        <v>865</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milscm_2023_009.sny_202310_backup_merge_receiptc_ir.reserve1 IS '予備1';</v>
      </c>
    </row>
    <row r="28" spans="1:52" s="25" customFormat="1">
      <c r="A28" s="4"/>
      <c r="B28" s="21">
        <f t="shared" si="2"/>
        <v>16</v>
      </c>
      <c r="C28" s="13" t="s">
        <v>926</v>
      </c>
      <c r="D28" s="13" t="s">
        <v>927</v>
      </c>
      <c r="E28" s="7"/>
      <c r="F28" s="7" t="s">
        <v>865</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928</v>
      </c>
      <c r="D29" s="13" t="s">
        <v>929</v>
      </c>
      <c r="E29" s="7"/>
      <c r="F29" s="7" t="s">
        <v>865</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milscm_2023_009.sny_202310_backup_merge_receiptc_ir.multi_volume_shikibetsu IS 'マルチボリューム識別情報';</v>
      </c>
    </row>
    <row r="30" spans="1:52" s="25" customFormat="1" ht="19.5" thickBot="1">
      <c r="A30" s="4"/>
      <c r="B30" s="27">
        <f>ROW()-12</f>
        <v>18</v>
      </c>
      <c r="C30" s="57" t="s">
        <v>930</v>
      </c>
      <c r="D30" s="57" t="s">
        <v>931</v>
      </c>
      <c r="E30" s="56"/>
      <c r="F30" s="56" t="s">
        <v>865</v>
      </c>
      <c r="G30" s="56" t="str">
        <f t="shared" si="3"/>
        <v>text</v>
      </c>
      <c r="H30" s="59"/>
      <c r="I30" s="60"/>
      <c r="J30" s="64"/>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ENT_01_C2-02</v>
      </c>
      <c r="E6" s="240"/>
      <c r="F6" s="240"/>
      <c r="G6" s="240"/>
      <c r="H6" s="240"/>
      <c r="I6" s="240"/>
      <c r="J6" s="241"/>
    </row>
    <row r="7" spans="1:45">
      <c r="B7" s="229" t="s">
        <v>115</v>
      </c>
      <c r="C7" s="230"/>
      <c r="D7" s="231" t="s">
        <v>941</v>
      </c>
      <c r="E7" s="232"/>
      <c r="F7" s="232"/>
      <c r="G7" s="232"/>
      <c r="H7" s="232"/>
      <c r="I7" s="232"/>
      <c r="J7" s="233"/>
    </row>
    <row r="8" spans="1:45">
      <c r="B8" s="229" t="s">
        <v>116</v>
      </c>
      <c r="C8" s="230"/>
      <c r="D8" s="231" t="str">
        <f>エンティティ一覧!AE2&amp;"_"&amp;D5&amp;"_merge_receiptc_re"</f>
        <v>sny_202310_backup_merge_receiptc_re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milscm_2023_009.sny_202310_backup_merge_receiptc_re;</v>
      </c>
      <c r="O10" s="76"/>
      <c r="P10" s="76"/>
      <c r="Q10" s="76"/>
      <c r="R10" s="76"/>
      <c r="S10" s="76"/>
      <c r="T10" s="76"/>
      <c r="AJ10" s="76" t="str">
        <f>"ALTER TABLE ONLY "&amp;エンティティ一覧!$O$2&amp;"."&amp;D$8</f>
        <v>ALTER TABLE ONLY milscm_2023_009.sny_202310_backup_merge_receiptc_re</v>
      </c>
      <c r="AS10" s="76" t="str">
        <f>"ALTER TABLE "&amp;エンティティ一覧!$O$2&amp;"."&amp;D$8&amp;" OWNER TO pgmisgrp1;"</f>
        <v>ALTER TABLE milscm_2023_009.sny_202310_backup_merge_receiptc_re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milscm_2023_009.sny_202310_backup_merge_receiptc_re</v>
      </c>
      <c r="O11" s="76"/>
      <c r="P11" s="76"/>
      <c r="Q11" s="76"/>
      <c r="R11" s="76"/>
      <c r="S11" s="76"/>
      <c r="T11" s="76"/>
      <c r="AJ11" s="76" t="str">
        <f>"ADD CONSTRAINT "&amp;D$8&amp;"_pkey PRIMARY KEY"</f>
        <v>ADD CONSTRAINT sny_202310_backup_merge_receiptc_re_pkey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milscm_2023_009.sny_202310_backup_merge_receiptc_re.mil_karute_id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milscm_2023_009.sny_202310_backup_merge_receiptc_re.facility_id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milscm_2023_009.sny_202310_backup_merge_receiptc_re.seikyu_ym IS '請求年月';</v>
      </c>
    </row>
    <row r="17" spans="2:45" s="25" customFormat="1" ht="75">
      <c r="B17" s="21">
        <f t="shared" si="2"/>
        <v>5</v>
      </c>
      <c r="C17" s="13" t="s">
        <v>866</v>
      </c>
      <c r="D17" s="13" t="s">
        <v>206</v>
      </c>
      <c r="E17" s="7" t="s">
        <v>127</v>
      </c>
      <c r="F17" s="7" t="s">
        <v>865</v>
      </c>
      <c r="G17" s="7" t="str">
        <f t="shared" ref="G17:G80" si="7">IF(F17="フラグ","boolean",IF(F17="文字列","text",IF(F17="整数","integer",IF(F17="実数","numeric",""))))</f>
        <v>text</v>
      </c>
      <c r="H17" s="58"/>
      <c r="I17" s="23" t="s">
        <v>127</v>
      </c>
      <c r="J17" s="24" t="s">
        <v>1058</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865</v>
      </c>
      <c r="G18" s="7" t="str">
        <f t="shared" si="7"/>
        <v>text</v>
      </c>
      <c r="H18" s="58" t="s">
        <v>934</v>
      </c>
      <c r="I18" s="23" t="s">
        <v>127</v>
      </c>
      <c r="J18" s="24" t="s">
        <v>935</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milscm_2023_009.sny_202310_backup_merge_receiptc_re.data_type IS 'データ種別';</v>
      </c>
    </row>
    <row r="19" spans="2:45" s="25" customFormat="1">
      <c r="B19" s="21">
        <f t="shared" si="2"/>
        <v>7</v>
      </c>
      <c r="C19" s="13" t="s">
        <v>908</v>
      </c>
      <c r="D19" s="13" t="s">
        <v>909</v>
      </c>
      <c r="E19" s="7" t="s">
        <v>127</v>
      </c>
      <c r="F19" s="7" t="s">
        <v>865</v>
      </c>
      <c r="G19" s="7" t="str">
        <f t="shared" si="7"/>
        <v>text</v>
      </c>
      <c r="H19" s="58"/>
      <c r="I19" s="23" t="s">
        <v>127</v>
      </c>
      <c r="J19" s="24" t="s">
        <v>1059</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910</v>
      </c>
      <c r="D20" s="13" t="s">
        <v>911</v>
      </c>
      <c r="E20" s="7"/>
      <c r="F20" s="7" t="s">
        <v>865</v>
      </c>
      <c r="G20" s="7" t="str">
        <f t="shared" si="7"/>
        <v>text</v>
      </c>
      <c r="H20" s="58" t="s">
        <v>1060</v>
      </c>
      <c r="I20" s="23" t="s">
        <v>127</v>
      </c>
      <c r="J20" s="24" t="s">
        <v>1061</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912</v>
      </c>
      <c r="D21" s="13" t="s">
        <v>913</v>
      </c>
      <c r="E21" s="7" t="s">
        <v>127</v>
      </c>
      <c r="F21" s="7" t="s">
        <v>204</v>
      </c>
      <c r="G21" s="7" t="str">
        <f t="shared" si="7"/>
        <v>integer</v>
      </c>
      <c r="H21" s="58"/>
      <c r="I21" s="23" t="s">
        <v>127</v>
      </c>
      <c r="J21" s="24" t="s">
        <v>1062</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milscm_2023_009.sny_202310_backup_merge_receiptc_re.receipt_no IS 'レセプト番号';</v>
      </c>
    </row>
    <row r="22" spans="2:45" s="25" customFormat="1">
      <c r="B22" s="21">
        <f t="shared" si="2"/>
        <v>10</v>
      </c>
      <c r="C22" s="13" t="s">
        <v>914</v>
      </c>
      <c r="D22" s="13" t="s">
        <v>915</v>
      </c>
      <c r="E22" s="7" t="s">
        <v>127</v>
      </c>
      <c r="F22" s="7" t="s">
        <v>204</v>
      </c>
      <c r="G22" s="7" t="str">
        <f t="shared" si="7"/>
        <v>integer</v>
      </c>
      <c r="H22" s="58"/>
      <c r="I22" s="23" t="s">
        <v>127</v>
      </c>
      <c r="J22" s="24" t="s">
        <v>1063</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milscm_2023_009.sny_202310_backup_merge_receiptc_re.gyo_no IS '行番号';</v>
      </c>
    </row>
    <row r="23" spans="2:45" s="25" customFormat="1">
      <c r="B23" s="21">
        <f t="shared" si="2"/>
        <v>11</v>
      </c>
      <c r="C23" s="13" t="s">
        <v>916</v>
      </c>
      <c r="D23" s="13" t="s">
        <v>917</v>
      </c>
      <c r="E23" s="7"/>
      <c r="F23" s="7" t="s">
        <v>865</v>
      </c>
      <c r="G23" s="7" t="str">
        <f t="shared" si="7"/>
        <v>text</v>
      </c>
      <c r="H23" s="58"/>
      <c r="I23" s="23"/>
      <c r="J23" s="24" t="s">
        <v>1064</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942</v>
      </c>
      <c r="D24" s="13" t="s">
        <v>943</v>
      </c>
      <c r="E24" s="7"/>
      <c r="F24" s="7" t="s">
        <v>865</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944</v>
      </c>
      <c r="D25" s="13" t="s">
        <v>945</v>
      </c>
      <c r="E25" s="7"/>
      <c r="F25" s="7" t="s">
        <v>865</v>
      </c>
      <c r="G25" s="7" t="str">
        <f t="shared" si="7"/>
        <v>text</v>
      </c>
      <c r="H25" s="58"/>
      <c r="I25" s="23"/>
      <c r="J25" s="24" t="s">
        <v>1065</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milscm_2023_009.sny_202310_backup_merge_receiptc_re.name IS '氏名';</v>
      </c>
    </row>
    <row r="26" spans="2:45" s="25" customFormat="1">
      <c r="B26" s="21">
        <f t="shared" si="2"/>
        <v>14</v>
      </c>
      <c r="C26" s="13" t="s">
        <v>946</v>
      </c>
      <c r="D26" s="13" t="s">
        <v>947</v>
      </c>
      <c r="E26" s="7"/>
      <c r="F26" s="7" t="s">
        <v>865</v>
      </c>
      <c r="G26" s="7" t="str">
        <f t="shared" si="7"/>
        <v>text</v>
      </c>
      <c r="H26" s="58"/>
      <c r="I26" s="23"/>
      <c r="J26" s="24" t="s">
        <v>1066</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milscm_2023_009.sny_202310_backup_merge_receiptc_re.sex_kubun IS '男女区分';</v>
      </c>
    </row>
    <row r="27" spans="2:45" s="25" customFormat="1" ht="93.75">
      <c r="B27" s="21">
        <f t="shared" si="2"/>
        <v>15</v>
      </c>
      <c r="C27" s="13" t="s">
        <v>948</v>
      </c>
      <c r="D27" s="13" t="s">
        <v>322</v>
      </c>
      <c r="E27" s="7"/>
      <c r="F27" s="7" t="s">
        <v>865</v>
      </c>
      <c r="G27" s="7" t="str">
        <f t="shared" si="7"/>
        <v>text</v>
      </c>
      <c r="H27" s="58"/>
      <c r="I27" s="23"/>
      <c r="J27" s="24" t="s">
        <v>1067</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milscm_2023_009.sny_202310_backup_merge_receiptc_re.birthday IS '生年月日';</v>
      </c>
    </row>
    <row r="28" spans="2:45" s="25" customFormat="1">
      <c r="B28" s="21">
        <f t="shared" si="2"/>
        <v>16</v>
      </c>
      <c r="C28" s="13" t="s">
        <v>949</v>
      </c>
      <c r="D28" s="13" t="s">
        <v>950</v>
      </c>
      <c r="E28" s="7"/>
      <c r="F28" s="7" t="s">
        <v>204</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milscm_2023_009.sny_202310_backup_merge_receiptc_re.kyufu_wariai IS '給付割合';</v>
      </c>
    </row>
    <row r="29" spans="2:45" s="25" customFormat="1" ht="75">
      <c r="B29" s="21">
        <f t="shared" si="2"/>
        <v>17</v>
      </c>
      <c r="C29" s="13" t="s">
        <v>868</v>
      </c>
      <c r="D29" s="13" t="s">
        <v>156</v>
      </c>
      <c r="E29" s="7"/>
      <c r="F29" s="7" t="s">
        <v>865</v>
      </c>
      <c r="G29" s="7" t="str">
        <f t="shared" si="7"/>
        <v>text</v>
      </c>
      <c r="H29" s="58"/>
      <c r="I29" s="23"/>
      <c r="J29" s="24" t="s">
        <v>1068</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milscm_2023_009.sny_202310_backup_merge_receiptc_re.nyuin_ymd IS '入院年月日';</v>
      </c>
    </row>
    <row r="30" spans="2:45" s="25" customFormat="1">
      <c r="B30" s="21">
        <f t="shared" si="2"/>
        <v>18</v>
      </c>
      <c r="C30" s="13" t="s">
        <v>951</v>
      </c>
      <c r="D30" s="13" t="s">
        <v>952</v>
      </c>
      <c r="E30" s="7"/>
      <c r="F30" s="7" t="s">
        <v>865</v>
      </c>
      <c r="G30" s="7" t="str">
        <f t="shared" si="7"/>
        <v>text</v>
      </c>
      <c r="H30" s="58"/>
      <c r="I30" s="23"/>
      <c r="J30" s="24" t="s">
        <v>1069</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milscm_2023_009.sny_202310_backup_merge_receiptc_re.ward_kubun1 IS '病棟区分1';</v>
      </c>
    </row>
    <row r="31" spans="2:45" s="25" customFormat="1">
      <c r="B31" s="21">
        <f t="shared" si="2"/>
        <v>19</v>
      </c>
      <c r="C31" s="13" t="s">
        <v>953</v>
      </c>
      <c r="D31" s="13" t="s">
        <v>954</v>
      </c>
      <c r="E31" s="7"/>
      <c r="F31" s="7" t="s">
        <v>865</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milscm_2023_009.sny_202310_backup_merge_receiptc_re.ward_kubun2 IS '病棟区分2';</v>
      </c>
    </row>
    <row r="32" spans="2:45" s="25" customFormat="1">
      <c r="B32" s="21">
        <f t="shared" si="2"/>
        <v>20</v>
      </c>
      <c r="C32" s="13" t="s">
        <v>955</v>
      </c>
      <c r="D32" s="13" t="s">
        <v>956</v>
      </c>
      <c r="E32" s="7"/>
      <c r="F32" s="7" t="s">
        <v>865</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milscm_2023_009.sny_202310_backup_merge_receiptc_re.ward_kubun3 IS '病棟区分3';</v>
      </c>
    </row>
    <row r="33" spans="2:45" s="25" customFormat="1">
      <c r="B33" s="21">
        <f t="shared" si="2"/>
        <v>21</v>
      </c>
      <c r="C33" s="13" t="s">
        <v>957</v>
      </c>
      <c r="D33" s="13" t="s">
        <v>958</v>
      </c>
      <c r="E33" s="7"/>
      <c r="F33" s="7" t="s">
        <v>865</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milscm_2023_009.sny_202310_backup_merge_receiptc_re.ward_kubun4 IS '病棟区分4';</v>
      </c>
    </row>
    <row r="34" spans="2:45" s="25" customFormat="1" ht="31.5">
      <c r="B34" s="21">
        <f t="shared" si="2"/>
        <v>22</v>
      </c>
      <c r="C34" s="13" t="s">
        <v>959</v>
      </c>
      <c r="D34" s="13" t="s">
        <v>960</v>
      </c>
      <c r="E34" s="7"/>
      <c r="F34" s="7" t="s">
        <v>865</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961</v>
      </c>
      <c r="D35" s="13" t="s">
        <v>962</v>
      </c>
      <c r="E35" s="7"/>
      <c r="F35" s="7" t="s">
        <v>865</v>
      </c>
      <c r="G35" s="7" t="str">
        <f t="shared" si="7"/>
        <v>text</v>
      </c>
      <c r="H35" s="58"/>
      <c r="I35" s="23"/>
      <c r="J35" s="24" t="s">
        <v>1070</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963</v>
      </c>
      <c r="D36" s="13" t="s">
        <v>964</v>
      </c>
      <c r="E36" s="7"/>
      <c r="F36" s="7" t="s">
        <v>865</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965</v>
      </c>
      <c r="D37" s="13" t="s">
        <v>966</v>
      </c>
      <c r="E37" s="7"/>
      <c r="F37" s="7" t="s">
        <v>865</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967</v>
      </c>
      <c r="D38" s="13" t="s">
        <v>968</v>
      </c>
      <c r="E38" s="7"/>
      <c r="F38" s="7" t="s">
        <v>865</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969</v>
      </c>
      <c r="D39" s="13" t="s">
        <v>970</v>
      </c>
      <c r="E39" s="7"/>
      <c r="F39" s="7" t="s">
        <v>865</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971</v>
      </c>
      <c r="D40" s="13" t="s">
        <v>972</v>
      </c>
      <c r="E40" s="7"/>
      <c r="F40" s="7" t="s">
        <v>204</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milscm_2023_009.sny_202310_backup_merge_receiptc_re.bed_su IS '病床数';</v>
      </c>
    </row>
    <row r="41" spans="2:45" s="25" customFormat="1">
      <c r="B41" s="21">
        <f t="shared" si="2"/>
        <v>29</v>
      </c>
      <c r="C41" s="13" t="s">
        <v>973</v>
      </c>
      <c r="D41" s="13" t="s">
        <v>974</v>
      </c>
      <c r="E41" s="7"/>
      <c r="F41" s="7" t="s">
        <v>204</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924</v>
      </c>
      <c r="D42" s="13" t="s">
        <v>925</v>
      </c>
      <c r="E42" s="7"/>
      <c r="F42" s="7" t="s">
        <v>865</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milscm_2023_009.sny_202310_backup_merge_receiptc_re.reserve1 IS '予備1';</v>
      </c>
    </row>
    <row r="43" spans="2:45" s="25" customFormat="1">
      <c r="B43" s="21">
        <f t="shared" si="2"/>
        <v>31</v>
      </c>
      <c r="C43" s="13" t="s">
        <v>975</v>
      </c>
      <c r="D43" s="13" t="s">
        <v>976</v>
      </c>
      <c r="E43" s="7"/>
      <c r="F43" s="7" t="s">
        <v>865</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milscm_2023_009.sny_202310_backup_merge_receiptc_re.reserve2 IS '予備2';</v>
      </c>
    </row>
    <row r="44" spans="2:45" s="25" customFormat="1">
      <c r="B44" s="21">
        <f t="shared" si="2"/>
        <v>32</v>
      </c>
      <c r="C44" s="13" t="s">
        <v>977</v>
      </c>
      <c r="D44" s="13" t="s">
        <v>978</v>
      </c>
      <c r="E44" s="7"/>
      <c r="F44" s="7" t="s">
        <v>865</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milscm_2023_009.sny_202310_backup_merge_receiptc_re.reserve3 IS '予備3';</v>
      </c>
    </row>
    <row r="45" spans="2:45" s="25" customFormat="1">
      <c r="B45" s="21">
        <f t="shared" si="2"/>
        <v>33</v>
      </c>
      <c r="C45" s="13" t="s">
        <v>979</v>
      </c>
      <c r="D45" s="13" t="s">
        <v>980</v>
      </c>
      <c r="E45" s="7"/>
      <c r="F45" s="7" t="s">
        <v>865</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milscm_2023_009.sny_202310_backup_merge_receiptc_re.kensaku_no IS '検索番号';</v>
      </c>
    </row>
    <row r="46" spans="2:45" s="25" customFormat="1" ht="56.25">
      <c r="B46" s="21">
        <f t="shared" si="2"/>
        <v>34</v>
      </c>
      <c r="C46" s="13" t="s">
        <v>981</v>
      </c>
      <c r="D46" s="13" t="s">
        <v>982</v>
      </c>
      <c r="E46" s="7"/>
      <c r="F46" s="7" t="s">
        <v>865</v>
      </c>
      <c r="G46" s="7" t="str">
        <f t="shared" si="7"/>
        <v>text</v>
      </c>
      <c r="H46" s="58"/>
      <c r="I46" s="23"/>
      <c r="J46" s="24" t="s">
        <v>933</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983</v>
      </c>
      <c r="D47" s="13" t="s">
        <v>984</v>
      </c>
      <c r="E47" s="7"/>
      <c r="F47" s="7" t="s">
        <v>865</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milscm_2023_009.sny_202310_backup_merge_receiptc_re.seikyu_info IS '請求情報';</v>
      </c>
    </row>
    <row r="48" spans="2:45" s="25" customFormat="1">
      <c r="B48" s="21">
        <f t="shared" si="2"/>
        <v>36</v>
      </c>
      <c r="C48" s="13" t="s">
        <v>985</v>
      </c>
      <c r="D48" s="13" t="s">
        <v>986</v>
      </c>
      <c r="E48" s="7"/>
      <c r="F48" s="7" t="s">
        <v>865</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987</v>
      </c>
      <c r="D49" s="13" t="s">
        <v>988</v>
      </c>
      <c r="E49" s="7"/>
      <c r="F49" s="7" t="s">
        <v>865</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989</v>
      </c>
      <c r="D50" s="13" t="s">
        <v>990</v>
      </c>
      <c r="E50" s="7"/>
      <c r="F50" s="7" t="s">
        <v>865</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991</v>
      </c>
      <c r="D51" s="13" t="s">
        <v>992</v>
      </c>
      <c r="E51" s="7"/>
      <c r="F51" s="7" t="s">
        <v>865</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993</v>
      </c>
      <c r="D52" s="13" t="s">
        <v>994</v>
      </c>
      <c r="E52" s="7"/>
      <c r="F52" s="7" t="s">
        <v>865</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995</v>
      </c>
      <c r="D53" s="13" t="s">
        <v>996</v>
      </c>
      <c r="E53" s="7"/>
      <c r="F53" s="7" t="s">
        <v>865</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997</v>
      </c>
      <c r="D54" s="13" t="s">
        <v>998</v>
      </c>
      <c r="E54" s="7"/>
      <c r="F54" s="7" t="s">
        <v>865</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999</v>
      </c>
      <c r="D55" s="13" t="s">
        <v>1000</v>
      </c>
      <c r="E55" s="7"/>
      <c r="F55" s="7" t="s">
        <v>865</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1001</v>
      </c>
      <c r="D56" s="13" t="s">
        <v>1002</v>
      </c>
      <c r="E56" s="7"/>
      <c r="F56" s="7" t="s">
        <v>865</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1003</v>
      </c>
      <c r="D57" s="13" t="s">
        <v>1004</v>
      </c>
      <c r="E57" s="7"/>
      <c r="F57" s="7" t="s">
        <v>865</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1005</v>
      </c>
      <c r="D58" s="13" t="s">
        <v>1006</v>
      </c>
      <c r="E58" s="7"/>
      <c r="F58" s="7" t="s">
        <v>865</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1007</v>
      </c>
      <c r="D59" s="13" t="s">
        <v>1008</v>
      </c>
      <c r="E59" s="7"/>
      <c r="F59" s="7" t="s">
        <v>865</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1009</v>
      </c>
      <c r="D60" s="13" t="s">
        <v>1010</v>
      </c>
      <c r="E60" s="7"/>
      <c r="F60" s="7" t="s">
        <v>865</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1011</v>
      </c>
      <c r="D61" s="13" t="s">
        <v>1012</v>
      </c>
      <c r="E61" s="7"/>
      <c r="F61" s="7" t="s">
        <v>865</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1013</v>
      </c>
      <c r="D62" s="13" t="s">
        <v>1014</v>
      </c>
      <c r="E62" s="7"/>
      <c r="F62" s="7" t="s">
        <v>865</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1015</v>
      </c>
      <c r="D63" s="13" t="s">
        <v>1016</v>
      </c>
      <c r="E63" s="7"/>
      <c r="F63" s="7" t="s">
        <v>865</v>
      </c>
      <c r="G63" s="7" t="str">
        <f t="shared" si="7"/>
        <v>text</v>
      </c>
      <c r="H63" s="58"/>
      <c r="I63" s="23"/>
      <c r="J63" s="24" t="s">
        <v>1065</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1017</v>
      </c>
      <c r="D64" s="13" t="s">
        <v>1018</v>
      </c>
      <c r="E64" s="7"/>
      <c r="F64" s="7" t="s">
        <v>865</v>
      </c>
      <c r="G64" s="7" t="str">
        <f t="shared" si="7"/>
        <v>text</v>
      </c>
      <c r="H64" s="58"/>
      <c r="I64" s="23"/>
      <c r="J64" s="24" t="s">
        <v>1071</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1019</v>
      </c>
      <c r="D65" s="13" t="s">
        <v>1020</v>
      </c>
      <c r="E65" s="7"/>
      <c r="F65" s="7" t="s">
        <v>865</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1021</v>
      </c>
      <c r="D66" s="13" t="s">
        <v>1022</v>
      </c>
      <c r="E66" s="7"/>
      <c r="F66" s="7" t="s">
        <v>865</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1023</v>
      </c>
      <c r="D67" s="13" t="s">
        <v>1024</v>
      </c>
      <c r="E67" s="7"/>
      <c r="F67" s="7" t="s">
        <v>865</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1025</v>
      </c>
      <c r="D68" s="13" t="s">
        <v>1026</v>
      </c>
      <c r="E68" s="7"/>
      <c r="F68" s="7" t="s">
        <v>865</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1027</v>
      </c>
      <c r="D69" s="13" t="s">
        <v>1028</v>
      </c>
      <c r="E69" s="7"/>
      <c r="F69" s="7" t="s">
        <v>865</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1029</v>
      </c>
      <c r="D70" s="13" t="s">
        <v>1030</v>
      </c>
      <c r="E70" s="7"/>
      <c r="F70" s="7" t="s">
        <v>865</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1031</v>
      </c>
      <c r="D71" s="13" t="s">
        <v>1032</v>
      </c>
      <c r="E71" s="7"/>
      <c r="F71" s="7" t="s">
        <v>865</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1033</v>
      </c>
      <c r="D72" s="13" t="s">
        <v>1034</v>
      </c>
      <c r="E72" s="7"/>
      <c r="F72" s="7" t="s">
        <v>865</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1035</v>
      </c>
      <c r="D73" s="13" t="s">
        <v>1036</v>
      </c>
      <c r="E73" s="7"/>
      <c r="F73" s="7" t="s">
        <v>865</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1037</v>
      </c>
      <c r="D74" s="13" t="s">
        <v>1038</v>
      </c>
      <c r="E74" s="7"/>
      <c r="F74" s="7" t="s">
        <v>865</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1039</v>
      </c>
      <c r="D75" s="13" t="s">
        <v>1040</v>
      </c>
      <c r="E75" s="7"/>
      <c r="F75" s="7" t="s">
        <v>865</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1041</v>
      </c>
      <c r="D76" s="13" t="s">
        <v>1042</v>
      </c>
      <c r="E76" s="7"/>
      <c r="F76" s="7" t="s">
        <v>865</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1043</v>
      </c>
      <c r="D77" s="13" t="s">
        <v>1044</v>
      </c>
      <c r="E77" s="7"/>
      <c r="F77" s="7" t="s">
        <v>865</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1045</v>
      </c>
      <c r="D78" s="13" t="s">
        <v>1046</v>
      </c>
      <c r="E78" s="7"/>
      <c r="F78" s="7" t="s">
        <v>865</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1047</v>
      </c>
      <c r="D79" s="13" t="s">
        <v>1048</v>
      </c>
      <c r="E79" s="7"/>
      <c r="F79" s="7" t="s">
        <v>865</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1049</v>
      </c>
      <c r="D80" s="13" t="s">
        <v>1050</v>
      </c>
      <c r="E80" s="7"/>
      <c r="F80" s="7" t="s">
        <v>865</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1051</v>
      </c>
      <c r="D81" s="13" t="s">
        <v>1052</v>
      </c>
      <c r="E81" s="7"/>
      <c r="F81" s="7" t="s">
        <v>865</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1053</v>
      </c>
      <c r="D82" s="13" t="s">
        <v>1054</v>
      </c>
      <c r="E82" s="7"/>
      <c r="F82" s="7" t="s">
        <v>865</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milscm_2023_009.sny_202310_backup_merge_receiptc_re.patient_state19 IS '患者の状態19';</v>
      </c>
    </row>
    <row r="83" spans="1:52" s="25" customFormat="1" ht="19.5" thickBot="1">
      <c r="A83" s="4"/>
      <c r="B83" s="27">
        <f>ROW()-12</f>
        <v>71</v>
      </c>
      <c r="C83" s="57" t="s">
        <v>1055</v>
      </c>
      <c r="D83" s="57" t="s">
        <v>1056</v>
      </c>
      <c r="E83" s="56"/>
      <c r="F83" s="56" t="s">
        <v>865</v>
      </c>
      <c r="G83" s="56" t="str">
        <f t="shared" si="3"/>
        <v>text</v>
      </c>
      <c r="H83" s="59"/>
      <c r="I83" s="60"/>
      <c r="J83" s="64"/>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ENT_01_C2-06</v>
      </c>
      <c r="E6" s="240"/>
      <c r="F6" s="240"/>
      <c r="G6" s="240"/>
      <c r="H6" s="240"/>
      <c r="I6" s="240"/>
      <c r="J6" s="241"/>
    </row>
    <row r="7" spans="1:45">
      <c r="B7" s="229" t="s">
        <v>115</v>
      </c>
      <c r="C7" s="230"/>
      <c r="D7" s="231" t="s">
        <v>1073</v>
      </c>
      <c r="E7" s="232"/>
      <c r="F7" s="232"/>
      <c r="G7" s="232"/>
      <c r="H7" s="232"/>
      <c r="I7" s="232"/>
      <c r="J7" s="233"/>
    </row>
    <row r="8" spans="1:45">
      <c r="B8" s="229" t="s">
        <v>116</v>
      </c>
      <c r="C8" s="230"/>
      <c r="D8" s="231" t="str">
        <f>エンティティ一覧!AE2&amp;"_"&amp;D5&amp;"_merge_receiptc_sy"</f>
        <v>sny_202310_backup_merge_receiptc_sy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milscm_2023_009.sny_202310_backup_merge_receiptc_sy;</v>
      </c>
      <c r="O10" s="76"/>
      <c r="P10" s="76"/>
      <c r="Q10" s="76"/>
      <c r="R10" s="76"/>
      <c r="S10" s="76"/>
      <c r="T10" s="76"/>
      <c r="AJ10" s="76" t="str">
        <f>"ALTER TABLE ONLY "&amp;エンティティ一覧!$O$2&amp;"."&amp;D$8</f>
        <v>ALTER TABLE ONLY milscm_2023_009.sny_202310_backup_merge_receiptc_sy</v>
      </c>
      <c r="AS10" s="76" t="str">
        <f>"ALTER TABLE "&amp;エンティティ一覧!$O$2&amp;"."&amp;D$8&amp;" OWNER TO pgmisgrp1;"</f>
        <v>ALTER TABLE milscm_2023_009.sny_202310_backup_merge_receiptc_sy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milscm_2023_009.sny_202310_backup_merge_receiptc_sy</v>
      </c>
      <c r="O11" s="76"/>
      <c r="P11" s="76"/>
      <c r="Q11" s="76"/>
      <c r="R11" s="76"/>
      <c r="S11" s="76"/>
      <c r="T11" s="76"/>
      <c r="AJ11" s="76" t="str">
        <f>"ADD CONSTRAINT "&amp;D$8&amp;"_pkey PRIMARY KEY"</f>
        <v>ADD CONSTRAINT sny_202310_backup_merge_receiptc_sy_pkey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milscm_2023_009.sny_202310_backup_merge_receiptc_sy.seikyu_ym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milscm_2023_009.sny_202310_backup_merge_receiptc_sy.data_type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910</v>
      </c>
      <c r="D20" s="13" t="s">
        <v>911</v>
      </c>
      <c r="E20" s="7"/>
      <c r="F20" s="7" t="s">
        <v>865</v>
      </c>
      <c r="G20" s="7" t="str">
        <f t="shared" si="3"/>
        <v>text</v>
      </c>
      <c r="H20" s="58" t="s">
        <v>1117</v>
      </c>
      <c r="I20" s="23" t="s">
        <v>127</v>
      </c>
      <c r="J20" s="24" t="s">
        <v>1118</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milscm_2023_009.sny_202310_backup_merge_receiptc_sy.receipt_no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milscm_2023_009.sny_202310_backup_merge_receiptc_sy.gyo_no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665</v>
      </c>
      <c r="D24" s="13" t="s">
        <v>872</v>
      </c>
      <c r="E24" s="7"/>
      <c r="F24" s="7" t="s">
        <v>865</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milscm_2023_009.sny_202310_backup_merge_receiptc_sy.shobyo_code IS '傷病名コード';</v>
      </c>
    </row>
    <row r="25" spans="2:45" s="25" customFormat="1" ht="75">
      <c r="B25" s="21">
        <f t="shared" si="2"/>
        <v>13</v>
      </c>
      <c r="C25" s="13" t="s">
        <v>1074</v>
      </c>
      <c r="D25" s="13" t="s">
        <v>1075</v>
      </c>
      <c r="E25" s="7"/>
      <c r="F25" s="7" t="s">
        <v>865</v>
      </c>
      <c r="G25" s="7" t="str">
        <f t="shared" si="3"/>
        <v>text</v>
      </c>
      <c r="H25" s="58"/>
      <c r="I25" s="23"/>
      <c r="J25" s="24" t="s">
        <v>1068</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1076</v>
      </c>
      <c r="D26" s="13" t="s">
        <v>1077</v>
      </c>
      <c r="E26" s="7"/>
      <c r="F26" s="7" t="s">
        <v>865</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milscm_2023_009.sny_202310_backup_merge_receiptc_sy.tenki_kubun IS '転帰区分';</v>
      </c>
    </row>
    <row r="27" spans="2:45" s="25" customFormat="1">
      <c r="B27" s="21">
        <f t="shared" si="2"/>
        <v>15</v>
      </c>
      <c r="C27" s="13" t="s">
        <v>667</v>
      </c>
      <c r="D27" s="13" t="s">
        <v>873</v>
      </c>
      <c r="E27" s="7"/>
      <c r="F27" s="7" t="s">
        <v>865</v>
      </c>
      <c r="G27" s="7" t="str">
        <f t="shared" si="3"/>
        <v>text</v>
      </c>
      <c r="H27" s="58"/>
      <c r="I27" s="23"/>
      <c r="J27" s="24" t="s">
        <v>1120</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671</v>
      </c>
      <c r="D29" s="13" t="s">
        <v>875</v>
      </c>
      <c r="E29" s="7"/>
      <c r="F29" s="7" t="s">
        <v>865</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1078</v>
      </c>
      <c r="D31" s="13" t="s">
        <v>1079</v>
      </c>
      <c r="E31" s="7"/>
      <c r="F31" s="7" t="s">
        <v>865</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1080</v>
      </c>
      <c r="D32" s="13" t="s">
        <v>1081</v>
      </c>
      <c r="E32" s="7"/>
      <c r="F32" s="7" t="s">
        <v>865</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1082</v>
      </c>
      <c r="D33" s="13" t="s">
        <v>1083</v>
      </c>
      <c r="E33" s="7"/>
      <c r="F33" s="7" t="s">
        <v>865</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1084</v>
      </c>
      <c r="D34" s="13" t="s">
        <v>1085</v>
      </c>
      <c r="E34" s="7"/>
      <c r="F34" s="7" t="s">
        <v>865</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1086</v>
      </c>
      <c r="D35" s="13" t="s">
        <v>1087</v>
      </c>
      <c r="E35" s="7"/>
      <c r="F35" s="7" t="s">
        <v>865</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1088</v>
      </c>
      <c r="D36" s="13" t="s">
        <v>1089</v>
      </c>
      <c r="E36" s="7"/>
      <c r="F36" s="7" t="s">
        <v>865</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1090</v>
      </c>
      <c r="D37" s="13" t="s">
        <v>1091</v>
      </c>
      <c r="E37" s="7"/>
      <c r="F37" s="7" t="s">
        <v>865</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1092</v>
      </c>
      <c r="D38" s="13" t="s">
        <v>1093</v>
      </c>
      <c r="E38" s="7"/>
      <c r="F38" s="7" t="s">
        <v>865</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1094</v>
      </c>
      <c r="D39" s="13" t="s">
        <v>1095</v>
      </c>
      <c r="E39" s="7"/>
      <c r="F39" s="7" t="s">
        <v>865</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1096</v>
      </c>
      <c r="D40" s="13" t="s">
        <v>1097</v>
      </c>
      <c r="E40" s="7"/>
      <c r="F40" s="7" t="s">
        <v>865</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1098</v>
      </c>
      <c r="D41" s="13" t="s">
        <v>1099</v>
      </c>
      <c r="E41" s="7"/>
      <c r="F41" s="7" t="s">
        <v>865</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1100</v>
      </c>
      <c r="D42" s="13" t="s">
        <v>1101</v>
      </c>
      <c r="E42" s="7"/>
      <c r="F42" s="7" t="s">
        <v>865</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1102</v>
      </c>
      <c r="D43" s="13" t="s">
        <v>1103</v>
      </c>
      <c r="E43" s="7"/>
      <c r="F43" s="7" t="s">
        <v>865</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1104</v>
      </c>
      <c r="D44" s="13" t="s">
        <v>1105</v>
      </c>
      <c r="E44" s="7"/>
      <c r="F44" s="7" t="s">
        <v>865</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1106</v>
      </c>
      <c r="D45" s="13" t="s">
        <v>1107</v>
      </c>
      <c r="E45" s="7"/>
      <c r="F45" s="7" t="s">
        <v>865</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1108</v>
      </c>
      <c r="D46" s="13" t="s">
        <v>1109</v>
      </c>
      <c r="E46" s="7"/>
      <c r="F46" s="7" t="s">
        <v>865</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1110</v>
      </c>
      <c r="D47" s="13" t="s">
        <v>1111</v>
      </c>
      <c r="E47" s="7"/>
      <c r="F47" s="7" t="s">
        <v>865</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milscm_2023_009.sny_202310_backup_merge_receiptc_sy.shobyo_name IS '傷病名称';</v>
      </c>
    </row>
    <row r="48" spans="2:45" s="25" customFormat="1">
      <c r="B48" s="21">
        <f t="shared" si="2"/>
        <v>36</v>
      </c>
      <c r="C48" s="13" t="s">
        <v>1112</v>
      </c>
      <c r="D48" s="13" t="s">
        <v>1113</v>
      </c>
      <c r="E48" s="7"/>
      <c r="F48" s="7" t="s">
        <v>865</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milscm_2023_009.sny_202310_backup_merge_receiptc_sy.main_shobyo_code IS '主傷病';</v>
      </c>
    </row>
    <row r="49" spans="1:52" s="25" customFormat="1" ht="19.5" thickBot="1">
      <c r="A49" s="4"/>
      <c r="B49" s="27">
        <f>ROW()-12</f>
        <v>37</v>
      </c>
      <c r="C49" s="57" t="s">
        <v>1114</v>
      </c>
      <c r="D49" s="57" t="s">
        <v>1115</v>
      </c>
      <c r="E49" s="56"/>
      <c r="F49" s="56" t="s">
        <v>865</v>
      </c>
      <c r="G49" s="56" t="str">
        <f t="shared" si="3"/>
        <v>text</v>
      </c>
      <c r="H49" s="59"/>
      <c r="I49" s="60"/>
      <c r="J49" s="64"/>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ENT_01_C2-07</v>
      </c>
      <c r="E6" s="240"/>
      <c r="F6" s="240"/>
      <c r="G6" s="240"/>
      <c r="H6" s="240"/>
      <c r="I6" s="240"/>
      <c r="J6" s="241"/>
    </row>
    <row r="7" spans="1:45">
      <c r="B7" s="229" t="s">
        <v>115</v>
      </c>
      <c r="C7" s="230"/>
      <c r="D7" s="231" t="s">
        <v>1122</v>
      </c>
      <c r="E7" s="232"/>
      <c r="F7" s="232"/>
      <c r="G7" s="232"/>
      <c r="H7" s="232"/>
      <c r="I7" s="232"/>
      <c r="J7" s="233"/>
    </row>
    <row r="8" spans="1:45">
      <c r="B8" s="229" t="s">
        <v>116</v>
      </c>
      <c r="C8" s="230"/>
      <c r="D8" s="231" t="str">
        <f>エンティティ一覧!AE2&amp;"_"&amp;D5&amp;"_merge_receiptc_si"</f>
        <v>sny_202310_backup_merge_receiptc_si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milscm_2023_009.sny_202310_backup_merge_receiptc_si;</v>
      </c>
      <c r="O10" s="76"/>
      <c r="P10" s="76"/>
      <c r="Q10" s="76"/>
      <c r="R10" s="76"/>
      <c r="S10" s="76"/>
      <c r="T10" s="76"/>
      <c r="AJ10" s="76" t="str">
        <f>"ALTER TABLE ONLY "&amp;エンティティ一覧!$O$2&amp;"."&amp;D$8</f>
        <v>ALTER TABLE ONLY milscm_2023_009.sny_202310_backup_merge_receiptc_si</v>
      </c>
      <c r="AS10" s="76" t="str">
        <f>"ALTER TABLE "&amp;エンティティ一覧!$O$2&amp;"."&amp;D$8&amp;" OWNER TO pgmisgrp1;"</f>
        <v>ALTER TABLE milscm_2023_009.sny_202310_backup_merge_receiptc_si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milscm_2023_009.sny_202310_backup_merge_receiptc_si</v>
      </c>
      <c r="O11" s="76"/>
      <c r="P11" s="76"/>
      <c r="Q11" s="76"/>
      <c r="R11" s="76"/>
      <c r="S11" s="76"/>
      <c r="T11" s="76"/>
      <c r="AJ11" s="76" t="str">
        <f>"ADD CONSTRAINT "&amp;D$8&amp;"_pkey PRIMARY KEY"</f>
        <v>ADD CONSTRAINT sny_202310_backup_merge_receiptc_si_pkey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1123</v>
      </c>
      <c r="D24" s="13" t="s">
        <v>1124</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1125</v>
      </c>
      <c r="D25" s="13" t="s">
        <v>1126</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milscm_2023_009.sny_202310_backup_merge_receiptc_si.futan_kubun IS '負担区分';</v>
      </c>
    </row>
    <row r="26" spans="2:45" s="25" customFormat="1">
      <c r="B26" s="21">
        <f t="shared" si="2"/>
        <v>14</v>
      </c>
      <c r="C26" s="13" t="s">
        <v>1127</v>
      </c>
      <c r="D26" s="13" t="s">
        <v>1128</v>
      </c>
      <c r="E26" s="7"/>
      <c r="F26" s="7" t="s">
        <v>865</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1129</v>
      </c>
      <c r="D27" s="13" t="s">
        <v>1130</v>
      </c>
      <c r="E27" s="7"/>
      <c r="F27" s="7" t="s">
        <v>204</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milscm_2023_009.sny_202310_backup_merge_receiptc_si.suryo_data IS '数量データ';</v>
      </c>
    </row>
    <row r="28" spans="2:45" s="25" customFormat="1">
      <c r="B28" s="21">
        <f t="shared" si="2"/>
        <v>16</v>
      </c>
      <c r="C28" s="13" t="s">
        <v>1131</v>
      </c>
      <c r="D28" s="13" t="s">
        <v>1132</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milscm_2023_009.sny_202310_backup_merge_receiptc_si.tensu IS '点数';</v>
      </c>
    </row>
    <row r="29" spans="2:45" s="25" customFormat="1">
      <c r="B29" s="21">
        <f t="shared" si="2"/>
        <v>17</v>
      </c>
      <c r="C29" s="13" t="s">
        <v>1133</v>
      </c>
      <c r="D29" s="13" t="s">
        <v>1134</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milscm_2023_009.sny_202310_backup_merge_receiptc_si.times IS '回数';</v>
      </c>
    </row>
    <row r="30" spans="2:45" s="25" customFormat="1">
      <c r="B30" s="21">
        <f t="shared" si="2"/>
        <v>18</v>
      </c>
      <c r="C30" s="13" t="s">
        <v>1135</v>
      </c>
      <c r="D30" s="13" t="s">
        <v>1136</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1137</v>
      </c>
      <c r="D31" s="13" t="s">
        <v>1138</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1139</v>
      </c>
      <c r="D32" s="13" t="s">
        <v>1140</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1141</v>
      </c>
      <c r="D33" s="13" t="s">
        <v>1142</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1143</v>
      </c>
      <c r="D34" s="13" t="s">
        <v>1144</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milscm_2023_009.sny_202310_backup_merge_receiptc_si.comment_code3 IS 'コメントコード3';</v>
      </c>
    </row>
    <row r="35" spans="1:52" s="25" customFormat="1" ht="19.5" thickBot="1">
      <c r="A35" s="4"/>
      <c r="B35" s="27">
        <f>ROW()-12</f>
        <v>23</v>
      </c>
      <c r="C35" s="57" t="s">
        <v>1145</v>
      </c>
      <c r="D35" s="57" t="s">
        <v>1146</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ENT_01_C2-08</v>
      </c>
      <c r="E6" s="240"/>
      <c r="F6" s="240"/>
      <c r="G6" s="240"/>
      <c r="H6" s="240"/>
      <c r="I6" s="240"/>
      <c r="J6" s="241"/>
    </row>
    <row r="7" spans="1:45">
      <c r="B7" s="229" t="s">
        <v>115</v>
      </c>
      <c r="C7" s="230"/>
      <c r="D7" s="231" t="s">
        <v>1150</v>
      </c>
      <c r="E7" s="232"/>
      <c r="F7" s="232"/>
      <c r="G7" s="232"/>
      <c r="H7" s="232"/>
      <c r="I7" s="232"/>
      <c r="J7" s="233"/>
    </row>
    <row r="8" spans="1:45">
      <c r="B8" s="229" t="s">
        <v>116</v>
      </c>
      <c r="C8" s="230"/>
      <c r="D8" s="231" t="str">
        <f>エンティティ一覧!AE2&amp;"_"&amp;D5&amp;"_merge_receiptc_si_day"</f>
        <v>sny_202310_backup_merge_receiptc_si_day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milscm_2023_009.sny_202310_backup_merge_receiptc_si_day;</v>
      </c>
      <c r="O10" s="76"/>
      <c r="P10" s="76"/>
      <c r="Q10" s="76"/>
      <c r="R10" s="76"/>
      <c r="S10" s="76"/>
      <c r="T10" s="76"/>
      <c r="AJ10" s="76" t="str">
        <f>"ALTER TABLE ONLY "&amp;エンティティ一覧!$O$2&amp;"."&amp;D$8</f>
        <v>ALTER TABLE ONLY milscm_2023_009.sny_202310_backup_merge_receiptc_si_day</v>
      </c>
      <c r="AS10" s="76" t="str">
        <f>"ALTER TABLE "&amp;エンティティ一覧!$O$2&amp;"."&amp;D$8&amp;" OWNER TO pgmisgrp1;"</f>
        <v>ALTER TABLE milscm_2023_009.sny_202310_backup_merge_receiptc_si_day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milscm_2023_009.sny_202310_backup_merge_receiptc_si_day</v>
      </c>
      <c r="O11" s="76"/>
      <c r="P11" s="76"/>
      <c r="Q11" s="76"/>
      <c r="R11" s="76"/>
      <c r="S11" s="76"/>
      <c r="T11" s="76"/>
      <c r="AJ11" s="76" t="str">
        <f>"ADD CONSTRAINT "&amp;D$8&amp;"_pkey PRIMARY KEY"</f>
        <v>ADD CONSTRAINT sny_202310_backup_merge_receiptc_si_day_pkey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milscm_2023_009.sny_202310_backup_merge_receiptc_si_day.facility_id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milscm_2023_009.sny_202310_backup_merge_receiptc_si_day.seikyu_ym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milscm_2023_009.sny_202310_backup_merge_receiptc_si_day.receipt_no IS 'レセプト番号';</v>
      </c>
    </row>
    <row r="22" spans="1:52"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milscm_2023_009.sny_202310_backup_merge_receiptc_si_day.gyo_no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1151</v>
      </c>
      <c r="D24" s="13" t="s">
        <v>1152</v>
      </c>
      <c r="E24" s="7" t="s">
        <v>127</v>
      </c>
      <c r="F24" s="7" t="s">
        <v>865</v>
      </c>
      <c r="G24" s="7" t="str">
        <f t="shared" si="3"/>
        <v>text</v>
      </c>
      <c r="H24" s="58"/>
      <c r="I24" s="23" t="s">
        <v>127</v>
      </c>
      <c r="J24" s="24" t="s">
        <v>1154</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milscm_2023_009.sny_202310_backup_merge_receiptc_si_day.santei_ymd IS '算定日';</v>
      </c>
    </row>
    <row r="25" spans="1:52" s="25" customFormat="1" ht="19.5" thickBot="1">
      <c r="A25" s="4"/>
      <c r="B25" s="27">
        <f>ROW()-12</f>
        <v>13</v>
      </c>
      <c r="C25" s="57" t="s">
        <v>1153</v>
      </c>
      <c r="D25" s="57" t="s">
        <v>1134</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ENT_01_C2-09</v>
      </c>
      <c r="E6" s="240"/>
      <c r="F6" s="240"/>
      <c r="G6" s="240"/>
      <c r="H6" s="240"/>
      <c r="I6" s="240"/>
      <c r="J6" s="241"/>
    </row>
    <row r="7" spans="1:45">
      <c r="B7" s="229" t="s">
        <v>115</v>
      </c>
      <c r="C7" s="230"/>
      <c r="D7" s="231" t="s">
        <v>1158</v>
      </c>
      <c r="E7" s="232"/>
      <c r="F7" s="232"/>
      <c r="G7" s="232"/>
      <c r="H7" s="232"/>
      <c r="I7" s="232"/>
      <c r="J7" s="233"/>
    </row>
    <row r="8" spans="1:45">
      <c r="B8" s="229" t="s">
        <v>116</v>
      </c>
      <c r="C8" s="230"/>
      <c r="D8" s="231" t="str">
        <f>エンティティ一覧!AE2&amp;"_"&amp;D5&amp;"_merge_receiptc_iy"</f>
        <v>sny_202310_backup_merge_receiptc_iy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milscm_2023_009.sny_202310_backup_merge_receiptc_iy;</v>
      </c>
      <c r="O10" s="76"/>
      <c r="P10" s="76"/>
      <c r="Q10" s="76"/>
      <c r="R10" s="76"/>
      <c r="S10" s="76"/>
      <c r="T10" s="76"/>
      <c r="AJ10" s="76" t="str">
        <f>"ALTER TABLE ONLY "&amp;エンティティ一覧!$O$2&amp;"."&amp;D$8</f>
        <v>ALTER TABLE ONLY milscm_2023_009.sny_202310_backup_merge_receiptc_iy</v>
      </c>
      <c r="AS10" s="76" t="str">
        <f>"ALTER TABLE "&amp;エンティティ一覧!$O$2&amp;"."&amp;D$8&amp;" OWNER TO pgmisgrp1;"</f>
        <v>ALTER TABLE milscm_2023_009.sny_202310_backup_merge_receiptc_iy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milscm_2023_009.sny_202310_backup_merge_receiptc_iy</v>
      </c>
      <c r="O11" s="76"/>
      <c r="P11" s="76"/>
      <c r="Q11" s="76"/>
      <c r="R11" s="76"/>
      <c r="S11" s="76"/>
      <c r="T11" s="76"/>
      <c r="AJ11" s="76" t="str">
        <f>"ADD CONSTRAINT "&amp;D$8&amp;"_pkey PRIMARY KEY"</f>
        <v>ADD CONSTRAINT sny_202310_backup_merge_receiptc_iy_pkey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910</v>
      </c>
      <c r="D20" s="13" t="s">
        <v>911</v>
      </c>
      <c r="E20" s="7"/>
      <c r="F20" s="7" t="s">
        <v>865</v>
      </c>
      <c r="G20" s="7" t="str">
        <f t="shared" si="3"/>
        <v>text</v>
      </c>
      <c r="H20" s="58" t="s">
        <v>1163</v>
      </c>
      <c r="I20" s="23" t="s">
        <v>127</v>
      </c>
      <c r="J20" s="24" t="s">
        <v>1164</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1123</v>
      </c>
      <c r="D24" s="13" t="s">
        <v>1124</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1125</v>
      </c>
      <c r="D25" s="13" t="s">
        <v>1126</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milscm_2023_009.sny_202310_backup_merge_receiptc_iy.futan_kubun IS '負担区分';</v>
      </c>
    </row>
    <row r="26" spans="2:45" s="25" customFormat="1">
      <c r="B26" s="21">
        <f t="shared" si="2"/>
        <v>14</v>
      </c>
      <c r="C26" s="13" t="s">
        <v>1159</v>
      </c>
      <c r="D26" s="13" t="s">
        <v>1160</v>
      </c>
      <c r="E26" s="7"/>
      <c r="F26" s="7" t="s">
        <v>865</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milscm_2023_009.sny_202310_backup_merge_receiptc_iy.iyakuhin_code IS '医薬品コード';</v>
      </c>
    </row>
    <row r="27" spans="2:45" s="25" customFormat="1" ht="37.5">
      <c r="B27" s="21">
        <f t="shared" si="2"/>
        <v>15</v>
      </c>
      <c r="C27" s="13" t="s">
        <v>1161</v>
      </c>
      <c r="D27" s="13" t="s">
        <v>129</v>
      </c>
      <c r="E27" s="7"/>
      <c r="F27" s="7" t="s">
        <v>1162</v>
      </c>
      <c r="G27" s="7" t="str">
        <f t="shared" si="3"/>
        <v>numeric</v>
      </c>
      <c r="H27" s="58"/>
      <c r="I27" s="23"/>
      <c r="J27" s="24" t="s">
        <v>1165</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milscm_2023_009.sny_202310_backup_merge_receiptc_iy.shiyoryo IS '使用量';</v>
      </c>
    </row>
    <row r="28" spans="2:45" s="25" customFormat="1">
      <c r="B28" s="21">
        <f t="shared" si="2"/>
        <v>16</v>
      </c>
      <c r="C28" s="13" t="s">
        <v>1131</v>
      </c>
      <c r="D28" s="13" t="s">
        <v>1132</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milscm_2023_009.sny_202310_backup_merge_receiptc_iy.tensu IS '点数';</v>
      </c>
    </row>
    <row r="29" spans="2:45" s="25" customFormat="1">
      <c r="B29" s="21">
        <f t="shared" si="2"/>
        <v>17</v>
      </c>
      <c r="C29" s="13" t="s">
        <v>1133</v>
      </c>
      <c r="D29" s="13" t="s">
        <v>1134</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milscm_2023_009.sny_202310_backup_merge_receiptc_iy.times IS '回数';</v>
      </c>
    </row>
    <row r="30" spans="2:45" s="25" customFormat="1">
      <c r="B30" s="21">
        <f t="shared" si="2"/>
        <v>18</v>
      </c>
      <c r="C30" s="13" t="s">
        <v>1135</v>
      </c>
      <c r="D30" s="13" t="s">
        <v>1136</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1137</v>
      </c>
      <c r="D31" s="13" t="s">
        <v>1138</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1139</v>
      </c>
      <c r="D32" s="13" t="s">
        <v>1140</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1141</v>
      </c>
      <c r="D33" s="13" t="s">
        <v>1142</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1143</v>
      </c>
      <c r="D34" s="13" t="s">
        <v>1144</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milscm_2023_009.sny_202310_backup_merge_receiptc_iy.comment_code3 IS 'コメントコード3';</v>
      </c>
    </row>
    <row r="35" spans="1:52" s="25" customFormat="1" ht="19.5" thickBot="1">
      <c r="A35" s="4"/>
      <c r="B35" s="27">
        <f>ROW()-12</f>
        <v>23</v>
      </c>
      <c r="C35" s="57" t="s">
        <v>1145</v>
      </c>
      <c r="D35" s="57" t="s">
        <v>1146</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ENT_01_C2-10</v>
      </c>
      <c r="E6" s="240"/>
      <c r="F6" s="240"/>
      <c r="G6" s="240"/>
      <c r="H6" s="240"/>
      <c r="I6" s="240"/>
      <c r="J6" s="241"/>
    </row>
    <row r="7" spans="1:45">
      <c r="B7" s="229" t="s">
        <v>115</v>
      </c>
      <c r="C7" s="230"/>
      <c r="D7" s="231" t="s">
        <v>1166</v>
      </c>
      <c r="E7" s="232"/>
      <c r="F7" s="232"/>
      <c r="G7" s="232"/>
      <c r="H7" s="232"/>
      <c r="I7" s="232"/>
      <c r="J7" s="233"/>
    </row>
    <row r="8" spans="1:45">
      <c r="B8" s="229" t="s">
        <v>116</v>
      </c>
      <c r="C8" s="230"/>
      <c r="D8" s="231" t="str">
        <f>エンティティ一覧!AE2&amp;"_"&amp;D5&amp;"_merge_receiptc_iy_day"</f>
        <v>sny_202310_backup_merge_receiptc_iy_day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milscm_2023_009.sny_202310_backup_merge_receiptc_iy_day;</v>
      </c>
      <c r="O10" s="76"/>
      <c r="P10" s="76"/>
      <c r="Q10" s="76"/>
      <c r="R10" s="76"/>
      <c r="S10" s="76"/>
      <c r="T10" s="76"/>
      <c r="AJ10" s="76" t="str">
        <f>"ALTER TABLE ONLY "&amp;エンティティ一覧!$O$2&amp;"."&amp;D$8</f>
        <v>ALTER TABLE ONLY milscm_2023_009.sny_202310_backup_merge_receiptc_iy_day</v>
      </c>
      <c r="AS10" s="76" t="str">
        <f>"ALTER TABLE "&amp;エンティティ一覧!$O$2&amp;"."&amp;D$8&amp;" OWNER TO pgmisgrp1;"</f>
        <v>ALTER TABLE milscm_2023_009.sny_202310_backup_merge_receiptc_iy_day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milscm_2023_009.sny_202310_backup_merge_receiptc_iy_day</v>
      </c>
      <c r="O11" s="76"/>
      <c r="P11" s="76"/>
      <c r="Q11" s="76"/>
      <c r="R11" s="76"/>
      <c r="S11" s="76"/>
      <c r="T11" s="76"/>
      <c r="AJ11" s="76" t="str">
        <f>"ADD CONSTRAINT "&amp;D$8&amp;"_pkey PRIMARY KEY"</f>
        <v>ADD CONSTRAINT sny_202310_backup_merge_receiptc_iy_day_pkey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milscm_2023_009.sny_202310_backup_merge_receiptc_iy_day.facility_id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milscm_2023_009.sny_202310_backup_merge_receiptc_iy_day.seikyu_ym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milscm_2023_009.sny_202310_backup_merge_receiptc_iy_day.receipt_no IS 'レセプト番号';</v>
      </c>
    </row>
    <row r="22" spans="1:52"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milscm_2023_009.sny_202310_backup_merge_receiptc_iy_day.gyo_no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1151</v>
      </c>
      <c r="D24" s="13" t="s">
        <v>1152</v>
      </c>
      <c r="E24" s="7" t="s">
        <v>127</v>
      </c>
      <c r="F24" s="7" t="s">
        <v>865</v>
      </c>
      <c r="G24" s="7" t="str">
        <f t="shared" si="3"/>
        <v>text</v>
      </c>
      <c r="H24" s="58"/>
      <c r="I24" s="23" t="s">
        <v>127</v>
      </c>
      <c r="J24" s="24" t="s">
        <v>1154</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milscm_2023_009.sny_202310_backup_merge_receiptc_iy_day.santei_ymd IS '算定日';</v>
      </c>
    </row>
    <row r="25" spans="1:52" s="25" customFormat="1" ht="19.5" thickBot="1">
      <c r="A25" s="4"/>
      <c r="B25" s="27">
        <f>ROW()-12</f>
        <v>13</v>
      </c>
      <c r="C25" s="57" t="s">
        <v>1153</v>
      </c>
      <c r="D25" s="57" t="s">
        <v>1134</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ENT_01_C2-16</v>
      </c>
      <c r="E6" s="240"/>
      <c r="F6" s="240"/>
      <c r="G6" s="240"/>
      <c r="H6" s="240"/>
      <c r="I6" s="240"/>
      <c r="J6" s="241"/>
    </row>
    <row r="7" spans="1:45">
      <c r="B7" s="229" t="s">
        <v>115</v>
      </c>
      <c r="C7" s="230"/>
      <c r="D7" s="231" t="s">
        <v>1167</v>
      </c>
      <c r="E7" s="232"/>
      <c r="F7" s="232"/>
      <c r="G7" s="232"/>
      <c r="H7" s="232"/>
      <c r="I7" s="232"/>
      <c r="J7" s="233"/>
    </row>
    <row r="8" spans="1:45">
      <c r="B8" s="229" t="s">
        <v>116</v>
      </c>
      <c r="C8" s="230"/>
      <c r="D8" s="231" t="str">
        <f>エンティティ一覧!AE2&amp;"_"&amp;D5&amp;"_merge_receiptc_tr"</f>
        <v>sny_202310_backup_merge_receiptc_tr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milscm_2023_009.sny_202310_backup_merge_receiptc_tr;</v>
      </c>
      <c r="O10" s="76"/>
      <c r="P10" s="76"/>
      <c r="Q10" s="76"/>
      <c r="R10" s="76"/>
      <c r="S10" s="76"/>
      <c r="T10" s="76"/>
      <c r="AJ10" s="76" t="str">
        <f>"ALTER TABLE ONLY "&amp;エンティティ一覧!$O$2&amp;"."&amp;D$8</f>
        <v>ALTER TABLE ONLY milscm_2023_009.sny_202310_backup_merge_receiptc_tr</v>
      </c>
      <c r="AS10" s="76" t="str">
        <f>"ALTER TABLE "&amp;エンティティ一覧!$O$2&amp;"."&amp;D$8&amp;" OWNER TO pgmisgrp1;"</f>
        <v>ALTER TABLE milscm_2023_009.sny_202310_backup_merge_receiptc_tr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milscm_2023_009.sny_202310_backup_merge_receiptc_tr</v>
      </c>
      <c r="O11" s="76"/>
      <c r="P11" s="76"/>
      <c r="Q11" s="76"/>
      <c r="R11" s="76"/>
      <c r="S11" s="76"/>
      <c r="T11" s="76"/>
      <c r="AJ11" s="76" t="str">
        <f>"ADD CONSTRAINT "&amp;D$8&amp;"_pkey PRIMARY KEY"</f>
        <v>ADD CONSTRAINT sny_202310_backup_merge_receiptc_tr_pkey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milscm_2023_009.sny_202310_backup_merge_receiptc_tr.facility_id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milscm_2023_009.sny_202310_backup_merge_receiptc_tr.seikyu_ym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milscm_2023_009.sny_202310_backup_merge_receiptc_tr.data_type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910</v>
      </c>
      <c r="D20" s="13" t="s">
        <v>911</v>
      </c>
      <c r="E20" s="7"/>
      <c r="F20" s="7" t="s">
        <v>865</v>
      </c>
      <c r="G20" s="7" t="str">
        <f t="shared" si="3"/>
        <v>text</v>
      </c>
      <c r="H20" s="58" t="s">
        <v>1195</v>
      </c>
      <c r="I20" s="23" t="s">
        <v>127</v>
      </c>
      <c r="J20" s="24" t="s">
        <v>1196</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milscm_2023_009.sny_202310_backup_merge_receiptc_tr.receipt_no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milscm_2023_009.sny_202310_backup_merge_receiptc_tr.gyo_no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milscm_2023_009.sny_202310_backup_merge_receiptc_tr.karute_no IS 'カルテ番号等';</v>
      </c>
    </row>
    <row r="24" spans="2:45" s="25" customFormat="1" ht="31.5">
      <c r="B24" s="21">
        <f t="shared" si="2"/>
        <v>12</v>
      </c>
      <c r="C24" s="13" t="s">
        <v>1168</v>
      </c>
      <c r="D24" s="13" t="s">
        <v>1169</v>
      </c>
      <c r="E24" s="7"/>
      <c r="F24" s="7" t="s">
        <v>204</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1170</v>
      </c>
      <c r="D25" s="13" t="s">
        <v>1171</v>
      </c>
      <c r="E25" s="7"/>
      <c r="F25" s="7" t="s">
        <v>865</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milscm_2023_009.sny_202310_backup_merge_receiptc_tr.zoki_receipt_type IS '臓器提供者レセプト種別';</v>
      </c>
    </row>
    <row r="26" spans="2:45" s="25" customFormat="1" ht="56.25">
      <c r="B26" s="21">
        <f t="shared" si="2"/>
        <v>14</v>
      </c>
      <c r="C26" s="13" t="s">
        <v>1172</v>
      </c>
      <c r="D26" s="13" t="s">
        <v>1173</v>
      </c>
      <c r="E26" s="7"/>
      <c r="F26" s="7" t="s">
        <v>865</v>
      </c>
      <c r="G26" s="7" t="str">
        <f t="shared" si="3"/>
        <v>text</v>
      </c>
      <c r="H26" s="58"/>
      <c r="I26" s="23"/>
      <c r="J26" s="24" t="s">
        <v>933</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924</v>
      </c>
      <c r="D27" s="13" t="s">
        <v>925</v>
      </c>
      <c r="E27" s="7"/>
      <c r="F27" s="7" t="s">
        <v>865</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milscm_2023_009.sny_202310_backup_merge_receiptc_tr.reserve1 IS '予備1';</v>
      </c>
    </row>
    <row r="28" spans="2:45" s="25" customFormat="1">
      <c r="B28" s="21">
        <f t="shared" si="2"/>
        <v>16</v>
      </c>
      <c r="C28" s="13" t="s">
        <v>1174</v>
      </c>
      <c r="D28" s="13" t="s">
        <v>947</v>
      </c>
      <c r="E28" s="7"/>
      <c r="F28" s="7" t="s">
        <v>865</v>
      </c>
      <c r="G28" s="7" t="str">
        <f t="shared" si="3"/>
        <v>text</v>
      </c>
      <c r="H28" s="58"/>
      <c r="I28" s="23"/>
      <c r="J28" s="24" t="s">
        <v>1066</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milscm_2023_009.sny_202310_backup_merge_receiptc_tr.sex_kubun IS '男女区分';</v>
      </c>
    </row>
    <row r="29" spans="2:45" s="25" customFormat="1" ht="93.75">
      <c r="B29" s="21">
        <f t="shared" si="2"/>
        <v>17</v>
      </c>
      <c r="C29" s="13" t="s">
        <v>567</v>
      </c>
      <c r="D29" s="13" t="s">
        <v>322</v>
      </c>
      <c r="E29" s="7"/>
      <c r="F29" s="7" t="s">
        <v>865</v>
      </c>
      <c r="G29" s="7" t="str">
        <f t="shared" si="3"/>
        <v>text</v>
      </c>
      <c r="H29" s="58"/>
      <c r="I29" s="23"/>
      <c r="J29" s="24" t="s">
        <v>1197</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milscm_2023_009.sny_202310_backup_merge_receiptc_tr.birthday IS '生年月日';</v>
      </c>
    </row>
    <row r="30" spans="2:45" s="25" customFormat="1">
      <c r="B30" s="21">
        <f t="shared" si="2"/>
        <v>18</v>
      </c>
      <c r="C30" s="13" t="s">
        <v>975</v>
      </c>
      <c r="D30" s="13" t="s">
        <v>976</v>
      </c>
      <c r="E30" s="7"/>
      <c r="F30" s="7" t="s">
        <v>865</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milscm_2023_009.sny_202310_backup_merge_receiptc_tr.reserve2 IS '予備2';</v>
      </c>
    </row>
    <row r="31" spans="2:45" s="25" customFormat="1" ht="75">
      <c r="B31" s="21">
        <f t="shared" si="2"/>
        <v>19</v>
      </c>
      <c r="C31" s="13" t="s">
        <v>143</v>
      </c>
      <c r="D31" s="13" t="s">
        <v>156</v>
      </c>
      <c r="E31" s="7"/>
      <c r="F31" s="7" t="s">
        <v>865</v>
      </c>
      <c r="G31" s="7" t="str">
        <f t="shared" si="3"/>
        <v>text</v>
      </c>
      <c r="H31" s="58"/>
      <c r="I31" s="23"/>
      <c r="J31" s="24" t="s">
        <v>1068</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milscm_2023_009.sny_202310_backup_merge_receiptc_tr.nyuin_ymd IS '入院年月日';</v>
      </c>
    </row>
    <row r="32" spans="2:45" s="25" customFormat="1">
      <c r="B32" s="21">
        <f t="shared" si="2"/>
        <v>20</v>
      </c>
      <c r="C32" s="13" t="s">
        <v>1175</v>
      </c>
      <c r="D32" s="13" t="s">
        <v>952</v>
      </c>
      <c r="E32" s="7"/>
      <c r="F32" s="7" t="s">
        <v>865</v>
      </c>
      <c r="G32" s="7" t="str">
        <f t="shared" si="3"/>
        <v>text</v>
      </c>
      <c r="H32" s="58"/>
      <c r="I32" s="23"/>
      <c r="J32" s="24" t="s">
        <v>1069</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milscm_2023_009.sny_202310_backup_merge_receiptc_tr.ward_kubun1 IS '病棟区分1';</v>
      </c>
    </row>
    <row r="33" spans="1:52" s="25" customFormat="1">
      <c r="B33" s="21">
        <f t="shared" si="2"/>
        <v>21</v>
      </c>
      <c r="C33" s="13" t="s">
        <v>1176</v>
      </c>
      <c r="D33" s="13" t="s">
        <v>954</v>
      </c>
      <c r="E33" s="7"/>
      <c r="F33" s="7" t="s">
        <v>865</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milscm_2023_009.sny_202310_backup_merge_receiptc_tr.ward_kubun2 IS '病棟区分2';</v>
      </c>
    </row>
    <row r="34" spans="1:52" s="25" customFormat="1">
      <c r="B34" s="21">
        <f t="shared" si="2"/>
        <v>22</v>
      </c>
      <c r="C34" s="13" t="s">
        <v>1177</v>
      </c>
      <c r="D34" s="13" t="s">
        <v>956</v>
      </c>
      <c r="E34" s="7"/>
      <c r="F34" s="7" t="s">
        <v>865</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milscm_2023_009.sny_202310_backup_merge_receiptc_tr.ward_kubun3 IS '病棟区分3';</v>
      </c>
    </row>
    <row r="35" spans="1:52" s="25" customFormat="1">
      <c r="B35" s="21">
        <f t="shared" si="2"/>
        <v>23</v>
      </c>
      <c r="C35" s="13" t="s">
        <v>1178</v>
      </c>
      <c r="D35" s="13" t="s">
        <v>958</v>
      </c>
      <c r="E35" s="7"/>
      <c r="F35" s="7" t="s">
        <v>865</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milscm_2023_009.sny_202310_backup_merge_receiptc_tr.ward_kubun4 IS '病棟区分4';</v>
      </c>
    </row>
    <row r="36" spans="1:52" s="25" customFormat="1">
      <c r="B36" s="21">
        <f t="shared" si="2"/>
        <v>24</v>
      </c>
      <c r="C36" s="13" t="s">
        <v>977</v>
      </c>
      <c r="D36" s="13" t="s">
        <v>978</v>
      </c>
      <c r="E36" s="7"/>
      <c r="F36" s="7" t="s">
        <v>865</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milscm_2023_009.sny_202310_backup_merge_receiptc_tr.reserve3 IS '予備3';</v>
      </c>
    </row>
    <row r="37" spans="1:52" s="25" customFormat="1">
      <c r="B37" s="21">
        <f t="shared" si="2"/>
        <v>25</v>
      </c>
      <c r="C37" s="13" t="s">
        <v>1179</v>
      </c>
      <c r="D37" s="13" t="s">
        <v>962</v>
      </c>
      <c r="E37" s="7"/>
      <c r="F37" s="7" t="s">
        <v>865</v>
      </c>
      <c r="G37" s="7" t="str">
        <f t="shared" si="3"/>
        <v>text</v>
      </c>
      <c r="H37" s="58"/>
      <c r="I37" s="23"/>
      <c r="J37" s="24" t="s">
        <v>1070</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1180</v>
      </c>
      <c r="D38" s="13" t="s">
        <v>964</v>
      </c>
      <c r="E38" s="7"/>
      <c r="F38" s="7" t="s">
        <v>865</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1181</v>
      </c>
      <c r="D39" s="13" t="s">
        <v>966</v>
      </c>
      <c r="E39" s="7"/>
      <c r="F39" s="7" t="s">
        <v>865</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1182</v>
      </c>
      <c r="D40" s="13" t="s">
        <v>968</v>
      </c>
      <c r="E40" s="7"/>
      <c r="F40" s="7" t="s">
        <v>865</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1183</v>
      </c>
      <c r="D41" s="13" t="s">
        <v>970</v>
      </c>
      <c r="E41" s="7"/>
      <c r="F41" s="7" t="s">
        <v>865</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1184</v>
      </c>
      <c r="D42" s="13" t="s">
        <v>1185</v>
      </c>
      <c r="E42" s="7"/>
      <c r="F42" s="7" t="s">
        <v>865</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milscm_2023_009.sny_202310_backup_merge_receiptc_tr.reserve4 IS '予備4';</v>
      </c>
    </row>
    <row r="43" spans="1:52" s="25" customFormat="1" ht="31.5">
      <c r="B43" s="21">
        <f t="shared" si="2"/>
        <v>31</v>
      </c>
      <c r="C43" s="13" t="s">
        <v>1186</v>
      </c>
      <c r="D43" s="13" t="s">
        <v>1187</v>
      </c>
      <c r="E43" s="7"/>
      <c r="F43" s="7" t="s">
        <v>865</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1188</v>
      </c>
      <c r="D44" s="13" t="s">
        <v>974</v>
      </c>
      <c r="E44" s="7"/>
      <c r="F44" s="7" t="s">
        <v>204</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1189</v>
      </c>
      <c r="D45" s="13" t="s">
        <v>1190</v>
      </c>
      <c r="E45" s="7"/>
      <c r="F45" s="7" t="s">
        <v>865</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milscm_2023_009.sny_202310_backup_merge_receiptc_tr.reserve5 IS '予備5';</v>
      </c>
    </row>
    <row r="46" spans="1:52" s="25" customFormat="1">
      <c r="B46" s="21">
        <f t="shared" si="2"/>
        <v>34</v>
      </c>
      <c r="C46" s="13" t="s">
        <v>1191</v>
      </c>
      <c r="D46" s="13" t="s">
        <v>1192</v>
      </c>
      <c r="E46" s="7"/>
      <c r="F46" s="7" t="s">
        <v>865</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milscm_2023_009.sny_202310_backup_merge_receiptc_tr.reserve6 IS '予備6';</v>
      </c>
    </row>
    <row r="47" spans="1:52" s="25" customFormat="1" ht="19.5" thickBot="1">
      <c r="A47" s="4"/>
      <c r="B47" s="27">
        <f>ROW()-12</f>
        <v>35</v>
      </c>
      <c r="C47" s="57" t="s">
        <v>1193</v>
      </c>
      <c r="D47" s="57" t="s">
        <v>1194</v>
      </c>
      <c r="E47" s="56"/>
      <c r="F47" s="56" t="s">
        <v>865</v>
      </c>
      <c r="G47" s="56" t="str">
        <f t="shared" si="3"/>
        <v>text</v>
      </c>
      <c r="H47" s="59"/>
      <c r="I47" s="60"/>
      <c r="J47" s="64"/>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ENT_01_C3-01</v>
      </c>
      <c r="E6" s="240"/>
      <c r="F6" s="240"/>
      <c r="G6" s="240"/>
      <c r="H6" s="240"/>
      <c r="I6" s="240"/>
      <c r="J6" s="241"/>
    </row>
    <row r="7" spans="1:45">
      <c r="B7" s="229" t="s">
        <v>115</v>
      </c>
      <c r="C7" s="230"/>
      <c r="D7" s="231" t="s">
        <v>1199</v>
      </c>
      <c r="E7" s="232"/>
      <c r="F7" s="232"/>
      <c r="G7" s="232"/>
      <c r="H7" s="232"/>
      <c r="I7" s="232"/>
      <c r="J7" s="233"/>
    </row>
    <row r="8" spans="1:45">
      <c r="B8" s="229" t="s">
        <v>116</v>
      </c>
      <c r="C8" s="230"/>
      <c r="D8" s="231" t="str">
        <f>エンティティ一覧!AE2&amp;"_"&amp;D5&amp;"_merge_receiptd_ir"</f>
        <v>sny_202310_backup_merge_receiptd_ir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milscm_2023_009.sny_202310_backup_merge_receiptd_ir;</v>
      </c>
      <c r="O10" s="76"/>
      <c r="P10" s="76"/>
      <c r="Q10" s="76"/>
      <c r="R10" s="76"/>
      <c r="S10" s="76"/>
      <c r="T10" s="76"/>
      <c r="AJ10" s="76" t="str">
        <f>"ALTER TABLE ONLY "&amp;エンティティ一覧!$O$2&amp;"."&amp;D$8</f>
        <v>ALTER TABLE ONLY milscm_2023_009.sny_202310_backup_merge_receiptd_ir</v>
      </c>
      <c r="AS10" s="76" t="str">
        <f>"ALTER TABLE "&amp;エンティティ一覧!$O$2&amp;"."&amp;D$8&amp;" OWNER TO pgmisgrp1;"</f>
        <v>ALTER TABLE milscm_2023_009.sny_202310_backup_merge_receiptd_ir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milscm_2023_009.sny_202310_backup_merge_receiptd_ir</v>
      </c>
      <c r="O11" s="76"/>
      <c r="P11" s="76"/>
      <c r="Q11" s="76"/>
      <c r="R11" s="76"/>
      <c r="S11" s="76"/>
      <c r="T11" s="76"/>
      <c r="AJ11" s="76" t="str">
        <f>"ADD CONSTRAINT "&amp;D$8&amp;"_pkey PRIMARY KEY"</f>
        <v>ADD CONSTRAINT sny_202310_backup_merge_receiptd_ir_pkey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milscm_2023_009.sny_202310_backup_merge_receiptd_ir.facility_id IS '施設ID';</v>
      </c>
    </row>
    <row r="16" spans="1:45" s="25" customFormat="1" ht="56.25">
      <c r="B16" s="21">
        <f t="shared" si="2"/>
        <v>4</v>
      </c>
      <c r="C16" s="6" t="s">
        <v>906</v>
      </c>
      <c r="D16" s="6" t="s">
        <v>907</v>
      </c>
      <c r="E16" s="8" t="s">
        <v>127</v>
      </c>
      <c r="F16" s="7" t="s">
        <v>865</v>
      </c>
      <c r="G16" s="7" t="str">
        <f t="shared" si="3"/>
        <v>text</v>
      </c>
      <c r="H16" s="26"/>
      <c r="I16" s="10" t="s">
        <v>127</v>
      </c>
      <c r="J16" s="53" t="s">
        <v>933</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939</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milscm_2023_009.sny_202310_backup_merge_receiptd_ir.data_type IS 'データ種別';</v>
      </c>
    </row>
    <row r="19" spans="1:52" s="25" customFormat="1">
      <c r="B19" s="21">
        <f t="shared" si="2"/>
        <v>7</v>
      </c>
      <c r="C19" s="13" t="s">
        <v>908</v>
      </c>
      <c r="D19" s="13" t="s">
        <v>909</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910</v>
      </c>
      <c r="D20" s="13" t="s">
        <v>911</v>
      </c>
      <c r="E20" s="7"/>
      <c r="F20" s="7" t="s">
        <v>865</v>
      </c>
      <c r="G20" s="7" t="str">
        <f t="shared" si="3"/>
        <v>text</v>
      </c>
      <c r="H20" s="58" t="s">
        <v>936</v>
      </c>
      <c r="I20" s="23" t="s">
        <v>127</v>
      </c>
      <c r="J20" s="24" t="s">
        <v>937</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912</v>
      </c>
      <c r="D21" s="13" t="s">
        <v>913</v>
      </c>
      <c r="E21" s="7" t="s">
        <v>127</v>
      </c>
      <c r="F21" s="7" t="s">
        <v>204</v>
      </c>
      <c r="G21" s="7" t="str">
        <f t="shared" si="3"/>
        <v>integer</v>
      </c>
      <c r="H21" s="58">
        <v>0</v>
      </c>
      <c r="I21" s="23" t="s">
        <v>127</v>
      </c>
      <c r="J21" s="24" t="s">
        <v>938</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914</v>
      </c>
      <c r="D22" s="13" t="s">
        <v>915</v>
      </c>
      <c r="E22" s="7" t="s">
        <v>127</v>
      </c>
      <c r="F22" s="7" t="s">
        <v>204</v>
      </c>
      <c r="G22" s="7" t="str">
        <f t="shared" si="3"/>
        <v>integer</v>
      </c>
      <c r="H22" s="58">
        <v>0</v>
      </c>
      <c r="I22" s="23" t="s">
        <v>127</v>
      </c>
      <c r="J22" s="24" t="s">
        <v>938</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milscm_2023_009.sny_202310_backup_merge_receiptd_ir.gyo_no IS '行番号';</v>
      </c>
    </row>
    <row r="23" spans="1:52" s="25" customFormat="1">
      <c r="B23" s="21">
        <f t="shared" si="2"/>
        <v>11</v>
      </c>
      <c r="C23" s="13" t="s">
        <v>916</v>
      </c>
      <c r="D23" s="13" t="s">
        <v>917</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1200</v>
      </c>
      <c r="D24" s="13" t="s">
        <v>1201</v>
      </c>
      <c r="E24" s="7"/>
      <c r="F24" s="7" t="s">
        <v>865</v>
      </c>
      <c r="G24" s="7" t="str">
        <f t="shared" si="3"/>
        <v>text</v>
      </c>
      <c r="H24" s="58"/>
      <c r="I24" s="23"/>
      <c r="J24" s="24" t="s">
        <v>863</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918</v>
      </c>
      <c r="D25" s="13" t="s">
        <v>919</v>
      </c>
      <c r="E25" s="7"/>
      <c r="F25" s="7" t="s">
        <v>865</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milscm_2023_009.sny_202310_backup_merge_receiptd_ir.prefecture IS '都道府県';</v>
      </c>
    </row>
    <row r="26" spans="1:52" s="25" customFormat="1">
      <c r="B26" s="21">
        <f t="shared" si="2"/>
        <v>14</v>
      </c>
      <c r="C26" s="13" t="s">
        <v>920</v>
      </c>
      <c r="D26" s="13" t="s">
        <v>921</v>
      </c>
      <c r="E26" s="7"/>
      <c r="F26" s="7" t="s">
        <v>865</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milscm_2023_009.sny_202310_backup_merge_receiptd_ir.tensuhyo IS '点数表';</v>
      </c>
    </row>
    <row r="27" spans="1:52" s="25" customFormat="1">
      <c r="B27" s="21">
        <f t="shared" si="2"/>
        <v>15</v>
      </c>
      <c r="C27" s="13" t="s">
        <v>922</v>
      </c>
      <c r="D27" s="13" t="s">
        <v>923</v>
      </c>
      <c r="E27" s="7"/>
      <c r="F27" s="7" t="s">
        <v>865</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924</v>
      </c>
      <c r="D28" s="13" t="s">
        <v>925</v>
      </c>
      <c r="E28" s="7"/>
      <c r="F28" s="7" t="s">
        <v>865</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milscm_2023_009.sny_202310_backup_merge_receiptd_ir.reserve1 IS '予備1';</v>
      </c>
    </row>
    <row r="29" spans="1:52" s="25" customFormat="1">
      <c r="B29" s="21">
        <f t="shared" si="2"/>
        <v>17</v>
      </c>
      <c r="C29" s="13" t="s">
        <v>926</v>
      </c>
      <c r="D29" s="13" t="s">
        <v>927</v>
      </c>
      <c r="E29" s="7"/>
      <c r="F29" s="7" t="s">
        <v>865</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928</v>
      </c>
      <c r="D30" s="13" t="s">
        <v>929</v>
      </c>
      <c r="E30" s="7"/>
      <c r="F30" s="7" t="s">
        <v>865</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milscm_2023_009.sny_202310_backup_merge_receiptd_ir.multi_volume_shikibetsu IS 'マルチボリューム識別情報';</v>
      </c>
    </row>
    <row r="31" spans="1:52" s="25" customFormat="1" ht="19.5" thickBot="1">
      <c r="A31" s="4"/>
      <c r="B31" s="27">
        <f>ROW()-12</f>
        <v>19</v>
      </c>
      <c r="C31" s="57" t="s">
        <v>930</v>
      </c>
      <c r="D31" s="57" t="s">
        <v>931</v>
      </c>
      <c r="E31" s="56"/>
      <c r="F31" s="56" t="s">
        <v>865</v>
      </c>
      <c r="G31" s="56" t="str">
        <f t="shared" si="3"/>
        <v>text</v>
      </c>
      <c r="H31" s="59"/>
      <c r="I31" s="60"/>
      <c r="J31" s="64"/>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ENT_01_C3-02</v>
      </c>
      <c r="E6" s="240"/>
      <c r="F6" s="240"/>
      <c r="G6" s="240"/>
      <c r="H6" s="240"/>
      <c r="I6" s="240"/>
      <c r="J6" s="241"/>
    </row>
    <row r="7" spans="1:45">
      <c r="B7" s="229" t="s">
        <v>115</v>
      </c>
      <c r="C7" s="230"/>
      <c r="D7" s="231" t="s">
        <v>1204</v>
      </c>
      <c r="E7" s="232"/>
      <c r="F7" s="232"/>
      <c r="G7" s="232"/>
      <c r="H7" s="232"/>
      <c r="I7" s="232"/>
      <c r="J7" s="233"/>
    </row>
    <row r="8" spans="1:45">
      <c r="B8" s="229" t="s">
        <v>116</v>
      </c>
      <c r="C8" s="230"/>
      <c r="D8" s="231" t="str">
        <f>エンティティ一覧!AE2&amp;"_"&amp;D5&amp;"_merge_receiptd_re"</f>
        <v>sny_202310_backup_merge_receiptd_re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milscm_2023_009.sny_202310_backup_merge_receiptd_re;</v>
      </c>
      <c r="O10" s="76"/>
      <c r="P10" s="76"/>
      <c r="Q10" s="76"/>
      <c r="R10" s="76"/>
      <c r="S10" s="76"/>
      <c r="T10" s="76"/>
      <c r="AJ10" s="76" t="str">
        <f>"ALTER TABLE ONLY "&amp;エンティティ一覧!$O$2&amp;"."&amp;D$8</f>
        <v>ALTER TABLE ONLY milscm_2023_009.sny_202310_backup_merge_receiptd_re</v>
      </c>
      <c r="AS10" s="76" t="str">
        <f>"ALTER TABLE "&amp;エンティティ一覧!$O$2&amp;"."&amp;D$8&amp;" OWNER TO pgmisgrp1;"</f>
        <v>ALTER TABLE milscm_2023_009.sny_202310_backup_merge_receiptd_re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milscm_2023_009.sny_202310_backup_merge_receiptd_re</v>
      </c>
      <c r="O11" s="76"/>
      <c r="P11" s="76"/>
      <c r="Q11" s="76"/>
      <c r="R11" s="76"/>
      <c r="S11" s="76"/>
      <c r="T11" s="76"/>
      <c r="AJ11" s="76" t="str">
        <f>"ADD CONSTRAINT "&amp;D$8&amp;"_pkey PRIMARY KEY"</f>
        <v>ADD CONSTRAINT sny_202310_backup_merge_receiptd_re_pkey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milscm_2023_009.sny_202310_backup_merge_receiptd_re.mil_karute_id IS '千年カルテID';</v>
      </c>
    </row>
    <row r="15" spans="1:45" s="25" customFormat="1" ht="37.5">
      <c r="A15" s="4"/>
      <c r="B15" s="21">
        <f t="shared" si="2"/>
        <v>3</v>
      </c>
      <c r="C15" s="13" t="s">
        <v>137</v>
      </c>
      <c r="D15" s="13" t="s">
        <v>128</v>
      </c>
      <c r="E15" s="7" t="s">
        <v>127</v>
      </c>
      <c r="F15" s="7" t="s">
        <v>865</v>
      </c>
      <c r="G15" s="7" t="str">
        <f t="shared" ref="G15:G74" si="5">IF(F15="フラグ","boolean",IF(F15="文字列","text",IF(F15="整数","integer",IF(F15="実数","numeric",""))))</f>
        <v>text</v>
      </c>
      <c r="H15" s="58"/>
      <c r="I15" s="23" t="s">
        <v>127</v>
      </c>
      <c r="J15" s="24" t="s">
        <v>1202</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906</v>
      </c>
      <c r="D16" s="13" t="s">
        <v>907</v>
      </c>
      <c r="E16" s="7" t="s">
        <v>127</v>
      </c>
      <c r="F16" s="7" t="s">
        <v>865</v>
      </c>
      <c r="G16" s="7" t="str">
        <f t="shared" si="5"/>
        <v>text</v>
      </c>
      <c r="H16" s="58"/>
      <c r="I16" s="23" t="s">
        <v>127</v>
      </c>
      <c r="J16" s="24" t="s">
        <v>1057</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milscm_2023_009.sny_202310_backup_merge_receiptd_re.seikyu_ym IS '請求年月';</v>
      </c>
    </row>
    <row r="17" spans="1:45" s="25" customFormat="1" ht="75">
      <c r="A17" s="4"/>
      <c r="B17" s="21">
        <f t="shared" si="2"/>
        <v>5</v>
      </c>
      <c r="C17" s="13" t="s">
        <v>866</v>
      </c>
      <c r="D17" s="13" t="s">
        <v>206</v>
      </c>
      <c r="E17" s="7" t="s">
        <v>127</v>
      </c>
      <c r="F17" s="7" t="s">
        <v>865</v>
      </c>
      <c r="G17" s="7" t="str">
        <f t="shared" si="5"/>
        <v>text</v>
      </c>
      <c r="H17" s="58"/>
      <c r="I17" s="23" t="s">
        <v>127</v>
      </c>
      <c r="J17" s="24" t="s">
        <v>1058</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865</v>
      </c>
      <c r="G18" s="7" t="str">
        <f t="shared" si="5"/>
        <v>text</v>
      </c>
      <c r="H18" s="58" t="s">
        <v>934</v>
      </c>
      <c r="I18" s="23" t="s">
        <v>127</v>
      </c>
      <c r="J18" s="24" t="s">
        <v>935</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908</v>
      </c>
      <c r="D19" s="13" t="s">
        <v>909</v>
      </c>
      <c r="E19" s="7" t="s">
        <v>127</v>
      </c>
      <c r="F19" s="7" t="s">
        <v>865</v>
      </c>
      <c r="G19" s="7" t="str">
        <f t="shared" si="5"/>
        <v>text</v>
      </c>
      <c r="H19" s="58"/>
      <c r="I19" s="23" t="s">
        <v>127</v>
      </c>
      <c r="J19" s="24" t="s">
        <v>1059</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910</v>
      </c>
      <c r="D20" s="13" t="s">
        <v>911</v>
      </c>
      <c r="E20" s="7"/>
      <c r="F20" s="7" t="s">
        <v>865</v>
      </c>
      <c r="G20" s="7" t="str">
        <f t="shared" si="5"/>
        <v>text</v>
      </c>
      <c r="H20" s="58" t="s">
        <v>1060</v>
      </c>
      <c r="I20" s="23" t="s">
        <v>127</v>
      </c>
      <c r="J20" s="24" t="s">
        <v>1061</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912</v>
      </c>
      <c r="D21" s="13" t="s">
        <v>913</v>
      </c>
      <c r="E21" s="7" t="s">
        <v>127</v>
      </c>
      <c r="F21" s="7" t="s">
        <v>204</v>
      </c>
      <c r="G21" s="7" t="str">
        <f t="shared" si="5"/>
        <v>integer</v>
      </c>
      <c r="H21" s="58"/>
      <c r="I21" s="23" t="s">
        <v>127</v>
      </c>
      <c r="J21" s="24" t="s">
        <v>1062</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914</v>
      </c>
      <c r="D22" s="13" t="s">
        <v>915</v>
      </c>
      <c r="E22" s="7" t="s">
        <v>127</v>
      </c>
      <c r="F22" s="7" t="s">
        <v>204</v>
      </c>
      <c r="G22" s="7" t="str">
        <f t="shared" si="5"/>
        <v>integer</v>
      </c>
      <c r="H22" s="58"/>
      <c r="I22" s="23" t="s">
        <v>127</v>
      </c>
      <c r="J22" s="24" t="s">
        <v>1207</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milscm_2023_009.sny_202310_backup_merge_receiptd_re.gyo_no IS '行番号';</v>
      </c>
    </row>
    <row r="23" spans="1:45" s="25" customFormat="1">
      <c r="A23" s="4"/>
      <c r="B23" s="21">
        <f t="shared" si="2"/>
        <v>11</v>
      </c>
      <c r="C23" s="13" t="s">
        <v>916</v>
      </c>
      <c r="D23" s="13" t="s">
        <v>917</v>
      </c>
      <c r="E23" s="7"/>
      <c r="F23" s="7" t="s">
        <v>865</v>
      </c>
      <c r="G23" s="7" t="str">
        <f t="shared" si="5"/>
        <v>text</v>
      </c>
      <c r="H23" s="58"/>
      <c r="I23" s="23"/>
      <c r="J23" s="24" t="s">
        <v>1064</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1200</v>
      </c>
      <c r="D24" s="13" t="s">
        <v>1201</v>
      </c>
      <c r="E24" s="7"/>
      <c r="F24" s="7" t="s">
        <v>865</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942</v>
      </c>
      <c r="D25" s="13" t="s">
        <v>943</v>
      </c>
      <c r="E25" s="7"/>
      <c r="F25" s="7" t="s">
        <v>865</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944</v>
      </c>
      <c r="D26" s="13" t="s">
        <v>945</v>
      </c>
      <c r="E26" s="7"/>
      <c r="F26" s="7" t="s">
        <v>865</v>
      </c>
      <c r="G26" s="7" t="str">
        <f t="shared" si="5"/>
        <v>text</v>
      </c>
      <c r="H26" s="58"/>
      <c r="I26" s="23"/>
      <c r="J26" s="24" t="s">
        <v>1065</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milscm_2023_009.sny_202310_backup_merge_receiptd_re.name IS '氏名';</v>
      </c>
    </row>
    <row r="27" spans="1:45" s="25" customFormat="1">
      <c r="A27" s="4"/>
      <c r="B27" s="21">
        <f t="shared" si="2"/>
        <v>15</v>
      </c>
      <c r="C27" s="13" t="s">
        <v>946</v>
      </c>
      <c r="D27" s="13" t="s">
        <v>947</v>
      </c>
      <c r="E27" s="7"/>
      <c r="F27" s="7" t="s">
        <v>865</v>
      </c>
      <c r="G27" s="7" t="str">
        <f t="shared" si="5"/>
        <v>text</v>
      </c>
      <c r="H27" s="58"/>
      <c r="I27" s="23"/>
      <c r="J27" s="24" t="s">
        <v>1066</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milscm_2023_009.sny_202310_backup_merge_receiptd_re.sex_kubun IS '男女区分';</v>
      </c>
    </row>
    <row r="28" spans="1:45" s="25" customFormat="1" ht="93.75">
      <c r="A28" s="4"/>
      <c r="B28" s="21">
        <f t="shared" si="2"/>
        <v>16</v>
      </c>
      <c r="C28" s="13" t="s">
        <v>948</v>
      </c>
      <c r="D28" s="13" t="s">
        <v>322</v>
      </c>
      <c r="E28" s="7"/>
      <c r="F28" s="7" t="s">
        <v>865</v>
      </c>
      <c r="G28" s="7" t="str">
        <f t="shared" si="5"/>
        <v>text</v>
      </c>
      <c r="H28" s="58"/>
      <c r="I28" s="23"/>
      <c r="J28" s="24" t="s">
        <v>1197</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949</v>
      </c>
      <c r="D29" s="13" t="s">
        <v>950</v>
      </c>
      <c r="E29" s="7"/>
      <c r="F29" s="7" t="s">
        <v>204</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milscm_2023_009.sny_202310_backup_merge_receiptd_re.kyufu_wariai IS '給付割合';</v>
      </c>
    </row>
    <row r="30" spans="1:45" s="25" customFormat="1" ht="75">
      <c r="A30" s="4"/>
      <c r="B30" s="21">
        <f t="shared" si="2"/>
        <v>18</v>
      </c>
      <c r="C30" s="13" t="s">
        <v>868</v>
      </c>
      <c r="D30" s="13" t="s">
        <v>156</v>
      </c>
      <c r="E30" s="7"/>
      <c r="F30" s="7" t="s">
        <v>865</v>
      </c>
      <c r="G30" s="7" t="str">
        <f t="shared" si="5"/>
        <v>text</v>
      </c>
      <c r="H30" s="58"/>
      <c r="I30" s="23"/>
      <c r="J30" s="24" t="s">
        <v>1068</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951</v>
      </c>
      <c r="D31" s="13" t="s">
        <v>952</v>
      </c>
      <c r="E31" s="7"/>
      <c r="F31" s="7" t="s">
        <v>865</v>
      </c>
      <c r="G31" s="7" t="str">
        <f t="shared" si="5"/>
        <v>text</v>
      </c>
      <c r="H31" s="58"/>
      <c r="I31" s="23"/>
      <c r="J31" s="24" t="s">
        <v>1069</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953</v>
      </c>
      <c r="D32" s="13" t="s">
        <v>954</v>
      </c>
      <c r="E32" s="7"/>
      <c r="F32" s="7" t="s">
        <v>865</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955</v>
      </c>
      <c r="D33" s="13" t="s">
        <v>956</v>
      </c>
      <c r="E33" s="7"/>
      <c r="F33" s="7" t="s">
        <v>865</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957</v>
      </c>
      <c r="D34" s="13" t="s">
        <v>958</v>
      </c>
      <c r="E34" s="7"/>
      <c r="F34" s="7" t="s">
        <v>865</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milscm_2023_009.sny_202310_backup_merge_receiptd_re.ward_kubun4 IS '病棟区分4';</v>
      </c>
    </row>
    <row r="35" spans="1:45" s="25" customFormat="1" ht="31.5">
      <c r="A35" s="4"/>
      <c r="B35" s="21">
        <f t="shared" si="2"/>
        <v>23</v>
      </c>
      <c r="C35" s="13" t="s">
        <v>959</v>
      </c>
      <c r="D35" s="13" t="s">
        <v>960</v>
      </c>
      <c r="E35" s="7"/>
      <c r="F35" s="7" t="s">
        <v>865</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961</v>
      </c>
      <c r="D36" s="13" t="s">
        <v>962</v>
      </c>
      <c r="E36" s="7"/>
      <c r="F36" s="7" t="s">
        <v>865</v>
      </c>
      <c r="G36" s="7" t="str">
        <f t="shared" si="5"/>
        <v>text</v>
      </c>
      <c r="H36" s="58"/>
      <c r="I36" s="23"/>
      <c r="J36" s="24" t="s">
        <v>1070</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963</v>
      </c>
      <c r="D37" s="13" t="s">
        <v>964</v>
      </c>
      <c r="E37" s="7"/>
      <c r="F37" s="7" t="s">
        <v>865</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965</v>
      </c>
      <c r="D38" s="13" t="s">
        <v>966</v>
      </c>
      <c r="E38" s="7"/>
      <c r="F38" s="7" t="s">
        <v>865</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967</v>
      </c>
      <c r="D39" s="13" t="s">
        <v>968</v>
      </c>
      <c r="E39" s="7"/>
      <c r="F39" s="7" t="s">
        <v>865</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969</v>
      </c>
      <c r="D40" s="13" t="s">
        <v>970</v>
      </c>
      <c r="E40" s="7"/>
      <c r="F40" s="7" t="s">
        <v>865</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924</v>
      </c>
      <c r="D41" s="13" t="s">
        <v>925</v>
      </c>
      <c r="E41" s="7"/>
      <c r="F41" s="7" t="s">
        <v>865</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milscm_2023_009.sny_202310_backup_merge_receiptd_re.reserve1 IS '予備1';</v>
      </c>
    </row>
    <row r="42" spans="1:45" s="25" customFormat="1">
      <c r="A42" s="4"/>
      <c r="B42" s="21">
        <f t="shared" si="2"/>
        <v>30</v>
      </c>
      <c r="C42" s="13" t="s">
        <v>973</v>
      </c>
      <c r="D42" s="13" t="s">
        <v>974</v>
      </c>
      <c r="E42" s="7"/>
      <c r="F42" s="7" t="s">
        <v>204</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975</v>
      </c>
      <c r="D43" s="13" t="s">
        <v>976</v>
      </c>
      <c r="E43" s="7"/>
      <c r="F43" s="7" t="s">
        <v>865</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milscm_2023_009.sny_202310_backup_merge_receiptd_re.reserve2 IS '予備2';</v>
      </c>
    </row>
    <row r="44" spans="1:45" s="25" customFormat="1">
      <c r="A44" s="4"/>
      <c r="B44" s="21">
        <f t="shared" si="2"/>
        <v>32</v>
      </c>
      <c r="C44" s="13" t="s">
        <v>977</v>
      </c>
      <c r="D44" s="13" t="s">
        <v>978</v>
      </c>
      <c r="E44" s="7"/>
      <c r="F44" s="7" t="s">
        <v>865</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milscm_2023_009.sny_202310_backup_merge_receiptd_re.reserve3 IS '予備3';</v>
      </c>
    </row>
    <row r="45" spans="1:45" s="25" customFormat="1">
      <c r="A45" s="4"/>
      <c r="B45" s="21">
        <f t="shared" si="2"/>
        <v>33</v>
      </c>
      <c r="C45" s="13" t="s">
        <v>1184</v>
      </c>
      <c r="D45" s="13" t="s">
        <v>1185</v>
      </c>
      <c r="E45" s="7"/>
      <c r="F45" s="7" t="s">
        <v>865</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milscm_2023_009.sny_202310_backup_merge_receiptd_re.reserve4 IS '予備4';</v>
      </c>
    </row>
    <row r="46" spans="1:45" s="25" customFormat="1">
      <c r="A46" s="4"/>
      <c r="B46" s="21">
        <f t="shared" si="2"/>
        <v>34</v>
      </c>
      <c r="C46" s="13" t="s">
        <v>1205</v>
      </c>
      <c r="D46" s="13" t="s">
        <v>1206</v>
      </c>
      <c r="E46" s="7"/>
      <c r="F46" s="7" t="s">
        <v>204</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979</v>
      </c>
      <c r="D47" s="13" t="s">
        <v>980</v>
      </c>
      <c r="E47" s="7"/>
      <c r="F47" s="7" t="s">
        <v>865</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milscm_2023_009.sny_202310_backup_merge_receiptd_re.kensaku_no IS '検索番号';</v>
      </c>
    </row>
    <row r="48" spans="1:45" s="25" customFormat="1" ht="56.25">
      <c r="A48" s="4"/>
      <c r="B48" s="21">
        <f t="shared" si="2"/>
        <v>36</v>
      </c>
      <c r="C48" s="13" t="s">
        <v>981</v>
      </c>
      <c r="D48" s="13" t="s">
        <v>982</v>
      </c>
      <c r="E48" s="7"/>
      <c r="F48" s="7" t="s">
        <v>865</v>
      </c>
      <c r="G48" s="7" t="str">
        <f t="shared" si="5"/>
        <v>text</v>
      </c>
      <c r="H48" s="58"/>
      <c r="I48" s="23"/>
      <c r="J48" s="24" t="s">
        <v>933</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983</v>
      </c>
      <c r="D49" s="13" t="s">
        <v>984</v>
      </c>
      <c r="E49" s="7"/>
      <c r="F49" s="7" t="s">
        <v>865</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985</v>
      </c>
      <c r="D50" s="13" t="s">
        <v>986</v>
      </c>
      <c r="E50" s="7"/>
      <c r="F50" s="7" t="s">
        <v>865</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987</v>
      </c>
      <c r="D51" s="13" t="s">
        <v>988</v>
      </c>
      <c r="E51" s="7"/>
      <c r="F51" s="7" t="s">
        <v>865</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989</v>
      </c>
      <c r="D52" s="13" t="s">
        <v>990</v>
      </c>
      <c r="E52" s="7"/>
      <c r="F52" s="7" t="s">
        <v>865</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991</v>
      </c>
      <c r="D53" s="13" t="s">
        <v>992</v>
      </c>
      <c r="E53" s="7"/>
      <c r="F53" s="7" t="s">
        <v>865</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993</v>
      </c>
      <c r="D54" s="13" t="s">
        <v>994</v>
      </c>
      <c r="E54" s="7"/>
      <c r="F54" s="7" t="s">
        <v>865</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1015</v>
      </c>
      <c r="D55" s="13" t="s">
        <v>1016</v>
      </c>
      <c r="E55" s="7"/>
      <c r="F55" s="7" t="s">
        <v>865</v>
      </c>
      <c r="G55" s="7" t="str">
        <f t="shared" si="5"/>
        <v>text</v>
      </c>
      <c r="H55" s="58"/>
      <c r="I55" s="23"/>
      <c r="J55" s="24" t="s">
        <v>1065</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1017</v>
      </c>
      <c r="D56" s="13" t="s">
        <v>1018</v>
      </c>
      <c r="E56" s="7"/>
      <c r="F56" s="7" t="s">
        <v>865</v>
      </c>
      <c r="G56" s="7" t="str">
        <f t="shared" si="5"/>
        <v>text</v>
      </c>
      <c r="H56" s="58"/>
      <c r="I56" s="23"/>
      <c r="J56" s="24" t="s">
        <v>1071</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1019</v>
      </c>
      <c r="D57" s="13" t="s">
        <v>1020</v>
      </c>
      <c r="E57" s="7"/>
      <c r="F57" s="7" t="s">
        <v>865</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1021</v>
      </c>
      <c r="D58" s="13" t="s">
        <v>1022</v>
      </c>
      <c r="E58" s="7"/>
      <c r="F58" s="7" t="s">
        <v>865</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1023</v>
      </c>
      <c r="D59" s="13" t="s">
        <v>1024</v>
      </c>
      <c r="E59" s="7"/>
      <c r="F59" s="7" t="s">
        <v>865</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1025</v>
      </c>
      <c r="D60" s="13" t="s">
        <v>1026</v>
      </c>
      <c r="E60" s="7"/>
      <c r="F60" s="7" t="s">
        <v>865</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1027</v>
      </c>
      <c r="D61" s="13" t="s">
        <v>1028</v>
      </c>
      <c r="E61" s="7"/>
      <c r="F61" s="7" t="s">
        <v>865</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1029</v>
      </c>
      <c r="D62" s="13" t="s">
        <v>1030</v>
      </c>
      <c r="E62" s="7"/>
      <c r="F62" s="7" t="s">
        <v>865</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1031</v>
      </c>
      <c r="D63" s="13" t="s">
        <v>1032</v>
      </c>
      <c r="E63" s="7"/>
      <c r="F63" s="7" t="s">
        <v>865</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1033</v>
      </c>
      <c r="D64" s="13" t="s">
        <v>1034</v>
      </c>
      <c r="E64" s="7"/>
      <c r="F64" s="7" t="s">
        <v>865</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1035</v>
      </c>
      <c r="D65" s="13" t="s">
        <v>1036</v>
      </c>
      <c r="E65" s="7"/>
      <c r="F65" s="7" t="s">
        <v>865</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1037</v>
      </c>
      <c r="D66" s="13" t="s">
        <v>1038</v>
      </c>
      <c r="E66" s="7"/>
      <c r="F66" s="7" t="s">
        <v>865</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1039</v>
      </c>
      <c r="D67" s="13" t="s">
        <v>1040</v>
      </c>
      <c r="E67" s="7"/>
      <c r="F67" s="7" t="s">
        <v>865</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1041</v>
      </c>
      <c r="D68" s="13" t="s">
        <v>1042</v>
      </c>
      <c r="E68" s="7"/>
      <c r="F68" s="7" t="s">
        <v>865</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1043</v>
      </c>
      <c r="D69" s="13" t="s">
        <v>1044</v>
      </c>
      <c r="E69" s="7"/>
      <c r="F69" s="7" t="s">
        <v>865</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1045</v>
      </c>
      <c r="D70" s="13" t="s">
        <v>1046</v>
      </c>
      <c r="E70" s="7"/>
      <c r="F70" s="7" t="s">
        <v>865</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1047</v>
      </c>
      <c r="D71" s="13" t="s">
        <v>1048</v>
      </c>
      <c r="E71" s="7"/>
      <c r="F71" s="7" t="s">
        <v>865</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1049</v>
      </c>
      <c r="D72" s="13" t="s">
        <v>1050</v>
      </c>
      <c r="E72" s="7"/>
      <c r="F72" s="7" t="s">
        <v>865</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1051</v>
      </c>
      <c r="D73" s="13" t="s">
        <v>1052</v>
      </c>
      <c r="E73" s="7"/>
      <c r="F73" s="7" t="s">
        <v>865</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1053</v>
      </c>
      <c r="D74" s="13" t="s">
        <v>1054</v>
      </c>
      <c r="E74" s="7"/>
      <c r="F74" s="7" t="s">
        <v>865</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milscm_2023_009.sny_202310_backup_merge_receiptd_re.patient_state19 IS '患者の状態19';</v>
      </c>
    </row>
    <row r="75" spans="1:52" s="25" customFormat="1" ht="19.5" thickBot="1">
      <c r="A75" s="4"/>
      <c r="B75" s="27">
        <f>ROW()-12</f>
        <v>63</v>
      </c>
      <c r="C75" s="57" t="s">
        <v>1055</v>
      </c>
      <c r="D75" s="57" t="s">
        <v>1056</v>
      </c>
      <c r="E75" s="56"/>
      <c r="F75" s="56" t="s">
        <v>865</v>
      </c>
      <c r="G75" s="56" t="str">
        <f t="shared" si="3"/>
        <v>text</v>
      </c>
      <c r="H75" s="59"/>
      <c r="I75" s="60"/>
      <c r="J75" s="64"/>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ENT_01_C3-08</v>
      </c>
      <c r="E6" s="240"/>
      <c r="F6" s="240"/>
      <c r="G6" s="240"/>
      <c r="H6" s="240"/>
      <c r="I6" s="240"/>
      <c r="J6" s="241"/>
    </row>
    <row r="7" spans="1:45">
      <c r="B7" s="229" t="s">
        <v>115</v>
      </c>
      <c r="C7" s="230"/>
      <c r="D7" s="231" t="s">
        <v>1209</v>
      </c>
      <c r="E7" s="232"/>
      <c r="F7" s="232"/>
      <c r="G7" s="232"/>
      <c r="H7" s="232"/>
      <c r="I7" s="232"/>
      <c r="J7" s="233"/>
    </row>
    <row r="8" spans="1:45">
      <c r="B8" s="229" t="s">
        <v>116</v>
      </c>
      <c r="C8" s="230"/>
      <c r="D8" s="231" t="str">
        <f>エンティティ一覧!AE2&amp;"_"&amp;D5&amp;"_merge_receiptd_bu"</f>
        <v>sny_202310_backup_merge_receiptd_bu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milscm_2023_009.sny_202310_backup_merge_receiptd_bu;</v>
      </c>
      <c r="O10" s="76"/>
      <c r="P10" s="76"/>
      <c r="Q10" s="76"/>
      <c r="R10" s="76"/>
      <c r="S10" s="76"/>
      <c r="T10" s="76"/>
      <c r="AJ10" s="76" t="str">
        <f>"ALTER TABLE ONLY "&amp;エンティティ一覧!$O$2&amp;"."&amp;D$8</f>
        <v>ALTER TABLE ONLY milscm_2023_009.sny_202310_backup_merge_receiptd_bu</v>
      </c>
      <c r="AS10" s="76" t="str">
        <f>"ALTER TABLE "&amp;エンティティ一覧!$O$2&amp;"."&amp;D$8&amp;" OWNER TO pgmisgrp1;"</f>
        <v>ALTER TABLE milscm_2023_009.sny_202310_backup_merge_receiptd_bu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milscm_2023_009.sny_202310_backup_merge_receiptd_bu</v>
      </c>
      <c r="O11" s="76"/>
      <c r="P11" s="76"/>
      <c r="Q11" s="76"/>
      <c r="R11" s="76"/>
      <c r="S11" s="76"/>
      <c r="T11" s="76"/>
      <c r="AJ11" s="76" t="str">
        <f>"ADD CONSTRAINT "&amp;D$8&amp;"_pkey PRIMARY KEY"</f>
        <v>ADD CONSTRAINT sny_202310_backup_merge_receiptd_bu_pkey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milscm_2023_009.sny_202310_backup_merge_receiptd_bu.mil_karute_id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milscm_2023_009.sny_202310_backup_merge_receiptd_bu.facility_id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milscm_2023_009.sny_202310_backup_merge_receiptd_bu.seikyu_ym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milscm_2023_009.sny_202310_backup_merge_receiptd_bu.data_type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910</v>
      </c>
      <c r="D20" s="13" t="s">
        <v>911</v>
      </c>
      <c r="E20" s="7"/>
      <c r="F20" s="7" t="s">
        <v>865</v>
      </c>
      <c r="G20" s="7" t="str">
        <f t="shared" si="3"/>
        <v>text</v>
      </c>
      <c r="H20" s="58" t="s">
        <v>1220</v>
      </c>
      <c r="I20" s="23" t="s">
        <v>127</v>
      </c>
      <c r="J20" s="24" t="s">
        <v>1221</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914</v>
      </c>
      <c r="D22" s="13" t="s">
        <v>915</v>
      </c>
      <c r="E22" s="7" t="s">
        <v>127</v>
      </c>
      <c r="F22" s="7" t="s">
        <v>204</v>
      </c>
      <c r="G22" s="7" t="str">
        <f t="shared" si="3"/>
        <v>integer</v>
      </c>
      <c r="H22" s="58"/>
      <c r="I22" s="23" t="s">
        <v>127</v>
      </c>
      <c r="J22" s="24" t="s">
        <v>1207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milscm_2023_009.sny_202310_backup_merge_receiptd_bu.gyo_no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milscm_2023_009.sny_202310_backup_merge_receiptd_bu.karute_no IS 'カルテ番号等';</v>
      </c>
    </row>
    <row r="24" spans="1:52" s="25" customFormat="1">
      <c r="B24" s="21">
        <f t="shared" si="2"/>
        <v>12</v>
      </c>
      <c r="C24" s="13" t="s">
        <v>1200</v>
      </c>
      <c r="D24" s="13" t="s">
        <v>1201</v>
      </c>
      <c r="E24" s="7"/>
      <c r="F24" s="7" t="s">
        <v>865</v>
      </c>
      <c r="G24" s="7" t="str">
        <f t="shared" si="3"/>
        <v>text</v>
      </c>
      <c r="H24" s="58"/>
      <c r="I24" s="23"/>
      <c r="J24" s="24" t="s">
        <v>1222</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1210</v>
      </c>
      <c r="D25" s="13" t="s">
        <v>1211</v>
      </c>
      <c r="E25" s="7"/>
      <c r="F25" s="7" t="s">
        <v>865</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milscm_2023_009.sny_202310_backup_merge_receiptd_bu.shindangun_no IS '診断群分類番号';</v>
      </c>
    </row>
    <row r="26" spans="1:52" s="25" customFormat="1" ht="75">
      <c r="B26" s="21">
        <f t="shared" si="2"/>
        <v>14</v>
      </c>
      <c r="C26" s="13" t="s">
        <v>1212</v>
      </c>
      <c r="D26" s="13" t="s">
        <v>1213</v>
      </c>
      <c r="E26" s="7"/>
      <c r="F26" s="7" t="s">
        <v>865</v>
      </c>
      <c r="G26" s="7" t="str">
        <f t="shared" si="3"/>
        <v>text</v>
      </c>
      <c r="H26" s="58"/>
      <c r="I26" s="23"/>
      <c r="J26" s="24" t="s">
        <v>1068</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milscm_2023_009.sny_202310_backup_merge_receiptd_bu.konnyuin_ymd IS '今回入院年月日 ';</v>
      </c>
    </row>
    <row r="27" spans="1:52" s="25" customFormat="1" ht="75">
      <c r="B27" s="21">
        <f t="shared" si="2"/>
        <v>15</v>
      </c>
      <c r="C27" s="13" t="s">
        <v>1214</v>
      </c>
      <c r="D27" s="13" t="s">
        <v>1215</v>
      </c>
      <c r="E27" s="7"/>
      <c r="F27" s="7" t="s">
        <v>865</v>
      </c>
      <c r="G27" s="7" t="str">
        <f t="shared" si="3"/>
        <v>text</v>
      </c>
      <c r="H27" s="58"/>
      <c r="I27" s="23"/>
      <c r="J27" s="24" t="s">
        <v>1068</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1216</v>
      </c>
      <c r="D28" s="13" t="s">
        <v>1217</v>
      </c>
      <c r="E28" s="7"/>
      <c r="F28" s="7" t="s">
        <v>865</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milscm_2023_009.sny_202310_backup_merge_receiptd_bu.dpc_tenki_code IS 'DPC転帰区分';</v>
      </c>
    </row>
    <row r="29" spans="1:52" s="25" customFormat="1" ht="19.5" thickBot="1">
      <c r="A29" s="4"/>
      <c r="B29" s="27">
        <f>ROW()-12</f>
        <v>17</v>
      </c>
      <c r="C29" s="57" t="s">
        <v>1218</v>
      </c>
      <c r="D29" s="57" t="s">
        <v>1219</v>
      </c>
      <c r="E29" s="56"/>
      <c r="F29" s="56" t="s">
        <v>865</v>
      </c>
      <c r="G29" s="56" t="str">
        <f t="shared" si="3"/>
        <v>text</v>
      </c>
      <c r="H29" s="59"/>
      <c r="I29" s="60"/>
      <c r="J29" s="64"/>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ENT_01_C3-09</v>
      </c>
      <c r="E6" s="240"/>
      <c r="F6" s="240"/>
      <c r="G6" s="240"/>
      <c r="H6" s="240"/>
      <c r="I6" s="240"/>
      <c r="J6" s="241"/>
    </row>
    <row r="7" spans="1:45">
      <c r="B7" s="229" t="s">
        <v>115</v>
      </c>
      <c r="C7" s="230"/>
      <c r="D7" s="231" t="s">
        <v>1224</v>
      </c>
      <c r="E7" s="232"/>
      <c r="F7" s="232"/>
      <c r="G7" s="232"/>
      <c r="H7" s="232"/>
      <c r="I7" s="232"/>
      <c r="J7" s="233"/>
    </row>
    <row r="8" spans="1:45">
      <c r="B8" s="229" t="s">
        <v>116</v>
      </c>
      <c r="C8" s="230"/>
      <c r="D8" s="231" t="str">
        <f>エンティティ一覧!AE2&amp;"_"&amp;D5&amp;"_merge_receiptd_sb"</f>
        <v>sny_202310_backup_merge_receiptd_sb</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milscm_2023_009.sny_202310_backup_merge_receiptd_sb;</v>
      </c>
      <c r="O10" s="76"/>
      <c r="P10" s="76"/>
      <c r="Q10" s="76"/>
      <c r="R10" s="76"/>
      <c r="S10" s="76"/>
      <c r="T10" s="76"/>
      <c r="AJ10" s="76" t="str">
        <f>"ALTER TABLE ONLY "&amp;エンティティ一覧!$O$2&amp;"."&amp;D$8</f>
        <v>ALTER TABLE ONLY milscm_2023_009.sny_202310_backup_merge_receiptd_sb</v>
      </c>
      <c r="AS10" s="76" t="str">
        <f>"ALTER TABLE "&amp;エンティティ一覧!$O$2&amp;"."&amp;D$8&amp;" OWNER TO pgmisgrp1;"</f>
        <v>ALTER TABLE milscm_2023_009.sny_202310_backup_merge_receiptd_sb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milscm_2023_009.sny_202310_backup_merge_receiptd_sb</v>
      </c>
      <c r="O11" s="76"/>
      <c r="P11" s="76"/>
      <c r="Q11" s="76"/>
      <c r="R11" s="76"/>
      <c r="S11" s="76"/>
      <c r="T11" s="76"/>
      <c r="AJ11" s="76" t="str">
        <f>"ADD CONSTRAINT "&amp;D$8&amp;"_pkey PRIMARY KEY"</f>
        <v>ADD CONSTRAINT sny_202310_backup_merge_receiptd_sb_pkey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milscm_2023_009.sny_202310_backup_merge_receiptd_sb.mil_karute_id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910</v>
      </c>
      <c r="D20" s="13" t="s">
        <v>911</v>
      </c>
      <c r="E20" s="7"/>
      <c r="F20" s="7" t="s">
        <v>865</v>
      </c>
      <c r="G20" s="7" t="str">
        <f t="shared" si="3"/>
        <v>text</v>
      </c>
      <c r="H20" s="58" t="s">
        <v>1227</v>
      </c>
      <c r="I20" s="23" t="s">
        <v>127</v>
      </c>
      <c r="J20" s="24" t="s">
        <v>1228</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milscm_2023_009.sny_202310_backup_merge_receiptd_sb.gyo_no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milscm_2023_009.sny_202310_backup_merge_receiptd_sb.karute_no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667</v>
      </c>
      <c r="D26" s="13" t="s">
        <v>873</v>
      </c>
      <c r="E26" s="7"/>
      <c r="F26" s="7" t="s">
        <v>865</v>
      </c>
      <c r="G26" s="7" t="str">
        <f t="shared" si="3"/>
        <v>text</v>
      </c>
      <c r="H26" s="58"/>
      <c r="I26" s="23"/>
      <c r="J26" s="24" t="s">
        <v>1120</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669</v>
      </c>
      <c r="D27" s="13" t="s">
        <v>874</v>
      </c>
      <c r="E27" s="7"/>
      <c r="F27" s="7" t="s">
        <v>865</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671</v>
      </c>
      <c r="D28" s="13" t="s">
        <v>875</v>
      </c>
      <c r="E28" s="7"/>
      <c r="F28" s="7" t="s">
        <v>865</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673</v>
      </c>
      <c r="D29" s="13" t="s">
        <v>876</v>
      </c>
      <c r="E29" s="7"/>
      <c r="F29" s="7" t="s">
        <v>865</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1078</v>
      </c>
      <c r="D30" s="13" t="s">
        <v>1079</v>
      </c>
      <c r="E30" s="7"/>
      <c r="F30" s="7" t="s">
        <v>865</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1080</v>
      </c>
      <c r="D31" s="13" t="s">
        <v>1081</v>
      </c>
      <c r="E31" s="7"/>
      <c r="F31" s="7" t="s">
        <v>865</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1082</v>
      </c>
      <c r="D32" s="13" t="s">
        <v>1083</v>
      </c>
      <c r="E32" s="7"/>
      <c r="F32" s="7" t="s">
        <v>865</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1084</v>
      </c>
      <c r="D33" s="13" t="s">
        <v>1085</v>
      </c>
      <c r="E33" s="7"/>
      <c r="F33" s="7" t="s">
        <v>865</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1086</v>
      </c>
      <c r="D34" s="13" t="s">
        <v>1087</v>
      </c>
      <c r="E34" s="7"/>
      <c r="F34" s="7" t="s">
        <v>865</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1088</v>
      </c>
      <c r="D35" s="13" t="s">
        <v>1089</v>
      </c>
      <c r="E35" s="7"/>
      <c r="F35" s="7" t="s">
        <v>865</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1090</v>
      </c>
      <c r="D36" s="13" t="s">
        <v>1091</v>
      </c>
      <c r="E36" s="7"/>
      <c r="F36" s="7" t="s">
        <v>865</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1092</v>
      </c>
      <c r="D37" s="13" t="s">
        <v>1093</v>
      </c>
      <c r="E37" s="7"/>
      <c r="F37" s="7" t="s">
        <v>865</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1094</v>
      </c>
      <c r="D38" s="13" t="s">
        <v>1095</v>
      </c>
      <c r="E38" s="7"/>
      <c r="F38" s="7" t="s">
        <v>865</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1096</v>
      </c>
      <c r="D39" s="13" t="s">
        <v>1097</v>
      </c>
      <c r="E39" s="7"/>
      <c r="F39" s="7" t="s">
        <v>865</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1098</v>
      </c>
      <c r="D40" s="13" t="s">
        <v>1099</v>
      </c>
      <c r="E40" s="7"/>
      <c r="F40" s="7" t="s">
        <v>865</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1100</v>
      </c>
      <c r="D41" s="13" t="s">
        <v>1101</v>
      </c>
      <c r="E41" s="7"/>
      <c r="F41" s="7" t="s">
        <v>865</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1102</v>
      </c>
      <c r="D42" s="13" t="s">
        <v>1103</v>
      </c>
      <c r="E42" s="7"/>
      <c r="F42" s="7" t="s">
        <v>865</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1104</v>
      </c>
      <c r="D43" s="13" t="s">
        <v>1105</v>
      </c>
      <c r="E43" s="7"/>
      <c r="F43" s="7" t="s">
        <v>865</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1106</v>
      </c>
      <c r="D44" s="13" t="s">
        <v>1107</v>
      </c>
      <c r="E44" s="7"/>
      <c r="F44" s="7" t="s">
        <v>865</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1108</v>
      </c>
      <c r="D45" s="13" t="s">
        <v>1109</v>
      </c>
      <c r="E45" s="7"/>
      <c r="F45" s="7" t="s">
        <v>865</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1110</v>
      </c>
      <c r="D46" s="13" t="s">
        <v>1111</v>
      </c>
      <c r="E46" s="7"/>
      <c r="F46" s="7" t="s">
        <v>865</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663</v>
      </c>
      <c r="D47" s="13" t="s">
        <v>871</v>
      </c>
      <c r="E47" s="7"/>
      <c r="F47" s="7" t="s">
        <v>865</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1225</v>
      </c>
      <c r="D48" s="13" t="s">
        <v>1226</v>
      </c>
      <c r="E48" s="7"/>
      <c r="F48" s="7" t="s">
        <v>865</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1218</v>
      </c>
      <c r="D49" s="13" t="s">
        <v>1219</v>
      </c>
      <c r="E49" s="7"/>
      <c r="F49" s="7" t="s">
        <v>865</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milscm_2023_009.sny_202310_backup_merge_receiptd_sb.death_cause IS '死因';</v>
      </c>
    </row>
    <row r="50" spans="1:52" s="25" customFormat="1" ht="19.5" thickBot="1">
      <c r="A50" s="4"/>
      <c r="B50" s="27">
        <f>ROW()-12</f>
        <v>38</v>
      </c>
      <c r="C50" s="57" t="s">
        <v>1114</v>
      </c>
      <c r="D50" s="57" t="s">
        <v>1115</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ENT_01_C3-10</v>
      </c>
      <c r="E6" s="240"/>
      <c r="F6" s="240"/>
      <c r="G6" s="240"/>
      <c r="H6" s="240"/>
      <c r="I6" s="240"/>
      <c r="J6" s="241"/>
    </row>
    <row r="7" spans="1:45">
      <c r="B7" s="229" t="s">
        <v>115</v>
      </c>
      <c r="C7" s="230"/>
      <c r="D7" s="231" t="s">
        <v>1230</v>
      </c>
      <c r="E7" s="232"/>
      <c r="F7" s="232"/>
      <c r="G7" s="232"/>
      <c r="H7" s="232"/>
      <c r="I7" s="232"/>
      <c r="J7" s="233"/>
    </row>
    <row r="8" spans="1:45">
      <c r="B8" s="229" t="s">
        <v>116</v>
      </c>
      <c r="C8" s="230"/>
      <c r="D8" s="231" t="str">
        <f>エンティティ一覧!AE2&amp;"_"&amp;D5&amp;"_merge_receiptd_sy"</f>
        <v>sny_202310_backup_merge_receiptd_sy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milscm_2023_009.sny_202310_backup_merge_receiptd_sy;</v>
      </c>
      <c r="O10" s="76"/>
      <c r="P10" s="76"/>
      <c r="Q10" s="76"/>
      <c r="R10" s="76"/>
      <c r="S10" s="76"/>
      <c r="T10" s="76"/>
      <c r="AJ10" s="76" t="str">
        <f>"ALTER TABLE ONLY "&amp;エンティティ一覧!$O$2&amp;"."&amp;D$8</f>
        <v>ALTER TABLE ONLY milscm_2023_009.sny_202310_backup_merge_receiptd_sy</v>
      </c>
      <c r="AS10" s="76" t="str">
        <f>"ALTER TABLE "&amp;エンティティ一覧!$O$2&amp;"."&amp;D$8&amp;" OWNER TO pgmisgrp1;"</f>
        <v>ALTER TABLE milscm_2023_009.sny_202310_backup_merge_receiptd_sy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milscm_2023_009.sny_202310_backup_merge_receiptd_sy</v>
      </c>
      <c r="O11" s="76"/>
      <c r="P11" s="76"/>
      <c r="Q11" s="76"/>
      <c r="R11" s="76"/>
      <c r="S11" s="76"/>
      <c r="T11" s="76"/>
      <c r="AJ11" s="76" t="str">
        <f>"ADD CONSTRAINT "&amp;D$8&amp;"_pkey PRIMARY KEY"</f>
        <v>ADD CONSTRAINT sny_202310_backup_merge_receiptd_sy_pkey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910</v>
      </c>
      <c r="D20" s="13" t="s">
        <v>911</v>
      </c>
      <c r="E20" s="7"/>
      <c r="F20" s="7" t="s">
        <v>865</v>
      </c>
      <c r="G20" s="7" t="str">
        <f t="shared" si="3"/>
        <v>text</v>
      </c>
      <c r="H20" s="58" t="s">
        <v>1117</v>
      </c>
      <c r="I20" s="23" t="s">
        <v>127</v>
      </c>
      <c r="J20" s="24" t="s">
        <v>1118</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milscm_2023_009.sny_202310_backup_merge_receiptd_sy.gyo_no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milscm_2023_009.sny_202310_backup_merge_receiptd_sy.karute_no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milscm_2023_009.sny_202310_backup_merge_receiptd_sy.shobyo_code IS '傷病名コード';</v>
      </c>
    </row>
    <row r="26" spans="1:45" s="25" customFormat="1" ht="75">
      <c r="A26" s="4"/>
      <c r="B26" s="21">
        <f t="shared" si="2"/>
        <v>14</v>
      </c>
      <c r="C26" s="13" t="s">
        <v>1074</v>
      </c>
      <c r="D26" s="13" t="s">
        <v>1075</v>
      </c>
      <c r="E26" s="7"/>
      <c r="F26" s="7" t="s">
        <v>865</v>
      </c>
      <c r="G26" s="7" t="str">
        <f t="shared" si="3"/>
        <v>text</v>
      </c>
      <c r="H26" s="58"/>
      <c r="I26" s="23"/>
      <c r="J26" s="24" t="s">
        <v>1068</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1076</v>
      </c>
      <c r="D27" s="13" t="s">
        <v>1077</v>
      </c>
      <c r="E27" s="7"/>
      <c r="F27" s="7" t="s">
        <v>865</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667</v>
      </c>
      <c r="D28" s="13" t="s">
        <v>873</v>
      </c>
      <c r="E28" s="7"/>
      <c r="F28" s="7" t="s">
        <v>865</v>
      </c>
      <c r="G28" s="7" t="str">
        <f t="shared" si="3"/>
        <v>text</v>
      </c>
      <c r="H28" s="58"/>
      <c r="I28" s="23"/>
      <c r="J28" s="24" t="s">
        <v>1120</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669</v>
      </c>
      <c r="D29" s="13" t="s">
        <v>874</v>
      </c>
      <c r="E29" s="7"/>
      <c r="F29" s="7" t="s">
        <v>865</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671</v>
      </c>
      <c r="D30" s="13" t="s">
        <v>875</v>
      </c>
      <c r="E30" s="7"/>
      <c r="F30" s="7" t="s">
        <v>865</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673</v>
      </c>
      <c r="D31" s="13" t="s">
        <v>876</v>
      </c>
      <c r="E31" s="7"/>
      <c r="F31" s="7" t="s">
        <v>865</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1078</v>
      </c>
      <c r="D32" s="13" t="s">
        <v>1079</v>
      </c>
      <c r="E32" s="7"/>
      <c r="F32" s="7" t="s">
        <v>865</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1080</v>
      </c>
      <c r="D33" s="13" t="s">
        <v>1081</v>
      </c>
      <c r="E33" s="7"/>
      <c r="F33" s="7" t="s">
        <v>865</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1082</v>
      </c>
      <c r="D34" s="13" t="s">
        <v>1083</v>
      </c>
      <c r="E34" s="7"/>
      <c r="F34" s="7" t="s">
        <v>865</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1084</v>
      </c>
      <c r="D35" s="13" t="s">
        <v>1085</v>
      </c>
      <c r="E35" s="7"/>
      <c r="F35" s="7" t="s">
        <v>865</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1086</v>
      </c>
      <c r="D36" s="13" t="s">
        <v>1087</v>
      </c>
      <c r="E36" s="7"/>
      <c r="F36" s="7" t="s">
        <v>865</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1088</v>
      </c>
      <c r="D37" s="13" t="s">
        <v>1089</v>
      </c>
      <c r="E37" s="7"/>
      <c r="F37" s="7" t="s">
        <v>865</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1090</v>
      </c>
      <c r="D38" s="13" t="s">
        <v>1091</v>
      </c>
      <c r="E38" s="7"/>
      <c r="F38" s="7" t="s">
        <v>865</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1092</v>
      </c>
      <c r="D39" s="13" t="s">
        <v>1093</v>
      </c>
      <c r="E39" s="7"/>
      <c r="F39" s="7" t="s">
        <v>865</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1094</v>
      </c>
      <c r="D40" s="13" t="s">
        <v>1095</v>
      </c>
      <c r="E40" s="7"/>
      <c r="F40" s="7" t="s">
        <v>865</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1096</v>
      </c>
      <c r="D41" s="13" t="s">
        <v>1097</v>
      </c>
      <c r="E41" s="7"/>
      <c r="F41" s="7" t="s">
        <v>865</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1098</v>
      </c>
      <c r="D42" s="13" t="s">
        <v>1099</v>
      </c>
      <c r="E42" s="7"/>
      <c r="F42" s="7" t="s">
        <v>865</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1100</v>
      </c>
      <c r="D43" s="13" t="s">
        <v>1101</v>
      </c>
      <c r="E43" s="7"/>
      <c r="F43" s="7" t="s">
        <v>865</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1102</v>
      </c>
      <c r="D44" s="13" t="s">
        <v>1103</v>
      </c>
      <c r="E44" s="7"/>
      <c r="F44" s="7" t="s">
        <v>865</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1104</v>
      </c>
      <c r="D45" s="13" t="s">
        <v>1105</v>
      </c>
      <c r="E45" s="7"/>
      <c r="F45" s="7" t="s">
        <v>865</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1106</v>
      </c>
      <c r="D46" s="13" t="s">
        <v>1107</v>
      </c>
      <c r="E46" s="7"/>
      <c r="F46" s="7" t="s">
        <v>865</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1108</v>
      </c>
      <c r="D47" s="13" t="s">
        <v>1109</v>
      </c>
      <c r="E47" s="7"/>
      <c r="F47" s="7" t="s">
        <v>865</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1110</v>
      </c>
      <c r="D48" s="13" t="s">
        <v>1111</v>
      </c>
      <c r="E48" s="7"/>
      <c r="F48" s="7" t="s">
        <v>865</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1112</v>
      </c>
      <c r="D49" s="13" t="s">
        <v>1113</v>
      </c>
      <c r="E49" s="7"/>
      <c r="F49" s="7" t="s">
        <v>865</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milscm_2023_009.sny_202310_backup_merge_receiptd_sy.main_shobyo_code IS '主傷病';</v>
      </c>
    </row>
    <row r="50" spans="1:52" s="25" customFormat="1" ht="19.5" thickBot="1">
      <c r="A50" s="4"/>
      <c r="B50" s="27">
        <f>ROW()-12</f>
        <v>38</v>
      </c>
      <c r="C50" s="57" t="s">
        <v>1114</v>
      </c>
      <c r="D50" s="57" t="s">
        <v>1115</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ENT_01_C3-16</v>
      </c>
      <c r="E6" s="240"/>
      <c r="F6" s="240"/>
      <c r="G6" s="240"/>
      <c r="H6" s="240"/>
      <c r="I6" s="240"/>
      <c r="J6" s="241"/>
    </row>
    <row r="7" spans="1:45">
      <c r="B7" s="229" t="s">
        <v>115</v>
      </c>
      <c r="C7" s="230"/>
      <c r="D7" s="231" t="s">
        <v>1232</v>
      </c>
      <c r="E7" s="232"/>
      <c r="F7" s="232"/>
      <c r="G7" s="232"/>
      <c r="H7" s="232"/>
      <c r="I7" s="232"/>
      <c r="J7" s="233"/>
    </row>
    <row r="8" spans="1:45">
      <c r="B8" s="229" t="s">
        <v>116</v>
      </c>
      <c r="C8" s="230"/>
      <c r="D8" s="231" t="str">
        <f>エンティティ一覧!AE2&amp;"_"&amp;D5&amp;"_merge_receiptd_si"</f>
        <v>sny_202310_backup_merge_receiptd_si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milscm_2023_009.sny_202310_backup_merge_receiptd_si;</v>
      </c>
      <c r="O10" s="76"/>
      <c r="P10" s="76"/>
      <c r="Q10" s="76"/>
      <c r="R10" s="76"/>
      <c r="S10" s="76"/>
      <c r="T10" s="76"/>
      <c r="AJ10" s="76" t="str">
        <f>"ALTER TABLE ONLY "&amp;エンティティ一覧!$O$2&amp;"."&amp;D$8</f>
        <v>ALTER TABLE ONLY milscm_2023_009.sny_202310_backup_merge_receiptd_si</v>
      </c>
      <c r="AS10" s="76" t="str">
        <f>"ALTER TABLE "&amp;エンティティ一覧!$O$2&amp;"."&amp;D$8&amp;" OWNER TO pgmisgrp1;"</f>
        <v>ALTER TABLE milscm_2023_009.sny_202310_backup_merge_receiptd_si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milscm_2023_009.sny_202310_backup_merge_receiptd_si</v>
      </c>
      <c r="O11" s="76"/>
      <c r="P11" s="76"/>
      <c r="Q11" s="76"/>
      <c r="R11" s="76"/>
      <c r="S11" s="76"/>
      <c r="T11" s="76"/>
      <c r="AJ11" s="76" t="str">
        <f>"ADD CONSTRAINT "&amp;D$8&amp;"_pkey PRIMARY KEY"</f>
        <v>ADD CONSTRAINT sny_202310_backup_merge_receiptd_si_pkey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910</v>
      </c>
      <c r="D20" s="13" t="s">
        <v>911</v>
      </c>
      <c r="E20" s="7"/>
      <c r="F20" s="7" t="s">
        <v>865</v>
      </c>
      <c r="G20" s="7" t="str">
        <f t="shared" si="3"/>
        <v>text</v>
      </c>
      <c r="H20" s="58" t="s">
        <v>1147</v>
      </c>
      <c r="I20" s="23" t="s">
        <v>127</v>
      </c>
      <c r="J20" s="24" t="s">
        <v>1148</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1123</v>
      </c>
      <c r="D25" s="13" t="s">
        <v>1124</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1125</v>
      </c>
      <c r="D26" s="13" t="s">
        <v>1126</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1127</v>
      </c>
      <c r="D27" s="13" t="s">
        <v>1128</v>
      </c>
      <c r="E27" s="7"/>
      <c r="F27" s="7" t="s">
        <v>865</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1129</v>
      </c>
      <c r="D28" s="13" t="s">
        <v>1130</v>
      </c>
      <c r="E28" s="7"/>
      <c r="F28" s="7" t="s">
        <v>204</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1131</v>
      </c>
      <c r="D29" s="13" t="s">
        <v>1132</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milscm_2023_009.sny_202310_backup_merge_receiptd_si.tensu IS '点数';</v>
      </c>
    </row>
    <row r="30" spans="1:45" s="25" customFormat="1">
      <c r="A30" s="4"/>
      <c r="B30" s="21">
        <f t="shared" si="2"/>
        <v>18</v>
      </c>
      <c r="C30" s="13" t="s">
        <v>1133</v>
      </c>
      <c r="D30" s="13" t="s">
        <v>1134</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milscm_2023_009.sny_202310_backup_merge_receiptd_si.times IS '回数';</v>
      </c>
    </row>
    <row r="31" spans="1:45" s="25" customFormat="1">
      <c r="A31" s="4"/>
      <c r="B31" s="21">
        <f t="shared" si="2"/>
        <v>19</v>
      </c>
      <c r="C31" s="13" t="s">
        <v>1135</v>
      </c>
      <c r="D31" s="13" t="s">
        <v>1136</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1137</v>
      </c>
      <c r="D32" s="13" t="s">
        <v>1138</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1139</v>
      </c>
      <c r="D33" s="13" t="s">
        <v>1140</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1141</v>
      </c>
      <c r="D34" s="13" t="s">
        <v>1142</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1143</v>
      </c>
      <c r="D35" s="13" t="s">
        <v>1144</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milscm_2023_009.sny_202310_backup_merge_receiptd_si.comment_code3 IS 'コメントコード3';</v>
      </c>
    </row>
    <row r="36" spans="1:52" s="25" customFormat="1" ht="19.5" thickBot="1">
      <c r="A36" s="4"/>
      <c r="B36" s="27">
        <f>ROW()-12</f>
        <v>24</v>
      </c>
      <c r="C36" s="57" t="s">
        <v>1145</v>
      </c>
      <c r="D36" s="57" t="s">
        <v>1146</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ENT_01_C3-17</v>
      </c>
      <c r="E6" s="240"/>
      <c r="F6" s="240"/>
      <c r="G6" s="240"/>
      <c r="H6" s="240"/>
      <c r="I6" s="240"/>
      <c r="J6" s="241"/>
    </row>
    <row r="7" spans="1:45">
      <c r="B7" s="229" t="s">
        <v>115</v>
      </c>
      <c r="C7" s="230"/>
      <c r="D7" s="231" t="s">
        <v>1234</v>
      </c>
      <c r="E7" s="232"/>
      <c r="F7" s="232"/>
      <c r="G7" s="232"/>
      <c r="H7" s="232"/>
      <c r="I7" s="232"/>
      <c r="J7" s="233"/>
    </row>
    <row r="8" spans="1:45">
      <c r="B8" s="229" t="s">
        <v>116</v>
      </c>
      <c r="C8" s="230"/>
      <c r="D8" s="231" t="str">
        <f>エンティティ一覧!AE2&amp;"_"&amp;D5&amp;"_merge_receiptd_si_day"</f>
        <v>sny_202310_backup_merge_receiptd_si_day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milscm_2023_009.sny_202310_backup_merge_receiptd_si_day;</v>
      </c>
      <c r="O10" s="76"/>
      <c r="P10" s="76"/>
      <c r="Q10" s="76"/>
      <c r="R10" s="76"/>
      <c r="S10" s="76"/>
      <c r="T10" s="76"/>
      <c r="AJ10" s="76" t="str">
        <f>"ALTER TABLE ONLY "&amp;エンティティ一覧!$O$2&amp;"."&amp;D$8</f>
        <v>ALTER TABLE ONLY milscm_2023_009.sny_202310_backup_merge_receiptd_si_day</v>
      </c>
      <c r="AS10" s="76" t="str">
        <f>"ALTER TABLE "&amp;エンティティ一覧!$O$2&amp;"."&amp;D$8&amp;" OWNER TO pgmisgrp1;"</f>
        <v>ALTER TABLE milscm_2023_009.sny_202310_backup_merge_receiptd_si_day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milscm_2023_009.sny_202310_backup_merge_receiptd_si_day</v>
      </c>
      <c r="O11" s="76"/>
      <c r="P11" s="76"/>
      <c r="Q11" s="76"/>
      <c r="R11" s="76"/>
      <c r="S11" s="76"/>
      <c r="T11" s="76"/>
      <c r="AJ11" s="76" t="str">
        <f>"ADD CONSTRAINT "&amp;D$8&amp;"_pkey PRIMARY KEY"</f>
        <v>ADD CONSTRAINT sny_202310_backup_merge_receiptd_si_day_pkey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910</v>
      </c>
      <c r="D20" s="13" t="s">
        <v>911</v>
      </c>
      <c r="E20" s="7"/>
      <c r="F20" s="7" t="s">
        <v>865</v>
      </c>
      <c r="G20" s="7" t="str">
        <f t="shared" si="3"/>
        <v>text</v>
      </c>
      <c r="H20" s="58" t="s">
        <v>1147</v>
      </c>
      <c r="I20" s="23" t="s">
        <v>127</v>
      </c>
      <c r="J20" s="24" t="s">
        <v>1148</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milscm_2023_009.sny_202310_backup_merge_receiptd_si_day.receipt_no IS 'レセプト番号';</v>
      </c>
    </row>
    <row r="22" spans="1:52" s="25" customFormat="1">
      <c r="A22" s="4"/>
      <c r="B22" s="21">
        <f t="shared" si="2"/>
        <v>10</v>
      </c>
      <c r="C22" s="13" t="s">
        <v>914</v>
      </c>
      <c r="D22" s="13" t="s">
        <v>915</v>
      </c>
      <c r="E22" s="7" t="s">
        <v>127</v>
      </c>
      <c r="F22" s="7" t="s">
        <v>204</v>
      </c>
      <c r="G22" s="7" t="str">
        <f t="shared" si="3"/>
        <v>integer</v>
      </c>
      <c r="H22" s="58"/>
      <c r="I22" s="23" t="s">
        <v>127</v>
      </c>
      <c r="J22" s="24" t="s">
        <v>1119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milscm_2023_009.sny_202310_backup_merge_receiptd_si_day.karute_no IS 'カルテ番号等';</v>
      </c>
    </row>
    <row r="24" spans="1:52" s="25" customFormat="1">
      <c r="A24" s="4"/>
      <c r="B24" s="21">
        <f t="shared" si="2"/>
        <v>12</v>
      </c>
      <c r="C24" s="13" t="s">
        <v>1200</v>
      </c>
      <c r="D24" s="13" t="s">
        <v>1201</v>
      </c>
      <c r="E24" s="7"/>
      <c r="F24" s="7" t="s">
        <v>865</v>
      </c>
      <c r="G24" s="7" t="str">
        <f t="shared" si="3"/>
        <v>text</v>
      </c>
      <c r="H24" s="58"/>
      <c r="I24" s="23"/>
      <c r="J24" s="24" t="s">
        <v>1235</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1151</v>
      </c>
      <c r="D25" s="13" t="s">
        <v>1152</v>
      </c>
      <c r="E25" s="7" t="s">
        <v>127</v>
      </c>
      <c r="F25" s="7" t="s">
        <v>865</v>
      </c>
      <c r="G25" s="7" t="str">
        <f t="shared" si="3"/>
        <v>text</v>
      </c>
      <c r="H25" s="58"/>
      <c r="I25" s="23" t="s">
        <v>127</v>
      </c>
      <c r="J25" s="24" t="s">
        <v>1154</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milscm_2023_009.sny_202310_backup_merge_receiptd_si_day.santei_ymd IS '算定日';</v>
      </c>
    </row>
    <row r="26" spans="1:52" s="25" customFormat="1" ht="19.5" thickBot="1">
      <c r="A26" s="4"/>
      <c r="B26" s="27">
        <f>ROW()-12</f>
        <v>14</v>
      </c>
      <c r="C26" s="57" t="s">
        <v>1153</v>
      </c>
      <c r="D26" s="57" t="s">
        <v>1134</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ENT_01_C3-18</v>
      </c>
      <c r="E6" s="240"/>
      <c r="F6" s="240"/>
      <c r="G6" s="240"/>
      <c r="H6" s="240"/>
      <c r="I6" s="240"/>
      <c r="J6" s="241"/>
    </row>
    <row r="7" spans="1:45">
      <c r="B7" s="229" t="s">
        <v>115</v>
      </c>
      <c r="C7" s="230"/>
      <c r="D7" s="231" t="s">
        <v>1237</v>
      </c>
      <c r="E7" s="232"/>
      <c r="F7" s="232"/>
      <c r="G7" s="232"/>
      <c r="H7" s="232"/>
      <c r="I7" s="232"/>
      <c r="J7" s="233"/>
    </row>
    <row r="8" spans="1:45">
      <c r="B8" s="229" t="s">
        <v>116</v>
      </c>
      <c r="C8" s="230"/>
      <c r="D8" s="231" t="str">
        <f>エンティティ一覧!AE2&amp;"_"&amp;D5&amp;"_merge_receiptd_iy"</f>
        <v>sny_202310_backup_merge_receiptd_iy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milscm_2023_009.sny_202310_backup_merge_receiptd_iy;</v>
      </c>
      <c r="O10" s="76"/>
      <c r="P10" s="76"/>
      <c r="Q10" s="76"/>
      <c r="R10" s="76"/>
      <c r="S10" s="76"/>
      <c r="T10" s="76"/>
      <c r="AJ10" s="76" t="str">
        <f>"ALTER TABLE ONLY "&amp;エンティティ一覧!$O$2&amp;"."&amp;D$8</f>
        <v>ALTER TABLE ONLY milscm_2023_009.sny_202310_backup_merge_receiptd_iy</v>
      </c>
      <c r="AS10" s="76" t="str">
        <f>"ALTER TABLE "&amp;エンティティ一覧!$O$2&amp;"."&amp;D$8&amp;" OWNER TO pgmisgrp1;"</f>
        <v>ALTER TABLE milscm_2023_009.sny_202310_backup_merge_receiptd_iy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milscm_2023_009.sny_202310_backup_merge_receiptd_iy</v>
      </c>
      <c r="O11" s="76"/>
      <c r="P11" s="76"/>
      <c r="Q11" s="76"/>
      <c r="R11" s="76"/>
      <c r="S11" s="76"/>
      <c r="T11" s="76"/>
      <c r="AJ11" s="76" t="str">
        <f>"ADD CONSTRAINT "&amp;D$8&amp;"_pkey PRIMARY KEY"</f>
        <v>ADD CONSTRAINT sny_202310_backup_merge_receiptd_iy_pkey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910</v>
      </c>
      <c r="D20" s="13" t="s">
        <v>911</v>
      </c>
      <c r="E20" s="7"/>
      <c r="F20" s="7" t="s">
        <v>865</v>
      </c>
      <c r="G20" s="7" t="str">
        <f t="shared" si="3"/>
        <v>text</v>
      </c>
      <c r="H20" s="58" t="s">
        <v>1163</v>
      </c>
      <c r="I20" s="23" t="s">
        <v>127</v>
      </c>
      <c r="J20" s="24" t="s">
        <v>1164</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1123</v>
      </c>
      <c r="D25" s="13" t="s">
        <v>1124</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1125</v>
      </c>
      <c r="D26" s="13" t="s">
        <v>1126</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1159</v>
      </c>
      <c r="D27" s="13" t="s">
        <v>1160</v>
      </c>
      <c r="E27" s="7"/>
      <c r="F27" s="7" t="s">
        <v>865</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milscm_2023_009.sny_202310_backup_merge_receiptd_iy.iyakuhin_code IS '医薬品コード';</v>
      </c>
    </row>
    <row r="28" spans="1:45" s="25" customFormat="1" ht="37.5">
      <c r="A28" s="4"/>
      <c r="B28" s="21">
        <f t="shared" si="2"/>
        <v>16</v>
      </c>
      <c r="C28" s="13" t="s">
        <v>1161</v>
      </c>
      <c r="D28" s="13" t="s">
        <v>129</v>
      </c>
      <c r="E28" s="7"/>
      <c r="F28" s="7" t="s">
        <v>1162</v>
      </c>
      <c r="G28" s="7" t="str">
        <f t="shared" si="3"/>
        <v>numeric</v>
      </c>
      <c r="H28" s="58"/>
      <c r="I28" s="23"/>
      <c r="J28" s="24" t="s">
        <v>1165</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1131</v>
      </c>
      <c r="D29" s="13" t="s">
        <v>1132</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milscm_2023_009.sny_202310_backup_merge_receiptd_iy.tensu IS '点数';</v>
      </c>
    </row>
    <row r="30" spans="1:45" s="25" customFormat="1">
      <c r="A30" s="4"/>
      <c r="B30" s="21">
        <f t="shared" si="2"/>
        <v>18</v>
      </c>
      <c r="C30" s="13" t="s">
        <v>1133</v>
      </c>
      <c r="D30" s="13" t="s">
        <v>1134</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milscm_2023_009.sny_202310_backup_merge_receiptd_iy.times IS '回数';</v>
      </c>
    </row>
    <row r="31" spans="1:45" s="25" customFormat="1">
      <c r="A31" s="4"/>
      <c r="B31" s="21">
        <f t="shared" si="2"/>
        <v>19</v>
      </c>
      <c r="C31" s="13" t="s">
        <v>1135</v>
      </c>
      <c r="D31" s="13" t="s">
        <v>1136</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1137</v>
      </c>
      <c r="D32" s="13" t="s">
        <v>1138</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1139</v>
      </c>
      <c r="D33" s="13" t="s">
        <v>1140</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1141</v>
      </c>
      <c r="D34" s="13" t="s">
        <v>1142</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1143</v>
      </c>
      <c r="D35" s="13" t="s">
        <v>1144</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milscm_2023_009.sny_202310_backup_merge_receiptd_iy.comment_code3 IS 'コメントコード3';</v>
      </c>
    </row>
    <row r="36" spans="1:52" s="25" customFormat="1" ht="19.5" thickBot="1">
      <c r="A36" s="4"/>
      <c r="B36" s="27">
        <f>ROW()-12</f>
        <v>24</v>
      </c>
      <c r="C36" s="57" t="s">
        <v>1145</v>
      </c>
      <c r="D36" s="57" t="s">
        <v>1146</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ENT_01_C3-19</v>
      </c>
      <c r="E6" s="240"/>
      <c r="F6" s="240"/>
      <c r="G6" s="240"/>
      <c r="H6" s="240"/>
      <c r="I6" s="240"/>
      <c r="J6" s="241"/>
    </row>
    <row r="7" spans="1:45">
      <c r="B7" s="229" t="s">
        <v>115</v>
      </c>
      <c r="C7" s="230"/>
      <c r="D7" s="231" t="s">
        <v>1239</v>
      </c>
      <c r="E7" s="232"/>
      <c r="F7" s="232"/>
      <c r="G7" s="232"/>
      <c r="H7" s="232"/>
      <c r="I7" s="232"/>
      <c r="J7" s="233"/>
    </row>
    <row r="8" spans="1:45">
      <c r="B8" s="229" t="s">
        <v>116</v>
      </c>
      <c r="C8" s="230"/>
      <c r="D8" s="231" t="str">
        <f>エンティティ一覧!AE2&amp;"_"&amp;D5&amp;"_merge_receiptd_iy_day"</f>
        <v>sny_202310_backup_merge_receiptd_iy_day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milscm_2023_009.sny_202310_backup_merge_receiptd_iy_day;</v>
      </c>
      <c r="O10" s="76"/>
      <c r="P10" s="76"/>
      <c r="Q10" s="76"/>
      <c r="R10" s="76"/>
      <c r="S10" s="76"/>
      <c r="T10" s="76"/>
      <c r="AJ10" s="76" t="str">
        <f>"ALTER TABLE ONLY "&amp;エンティティ一覧!$O$2&amp;"."&amp;D$8</f>
        <v>ALTER TABLE ONLY milscm_2023_009.sny_202310_backup_merge_receiptd_iy_day</v>
      </c>
      <c r="AS10" s="76" t="str">
        <f>"ALTER TABLE "&amp;エンティティ一覧!$O$2&amp;"."&amp;D$8&amp;" OWNER TO pgmisgrp1;"</f>
        <v>ALTER TABLE milscm_2023_009.sny_202310_backup_merge_receiptd_iy_day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milscm_2023_009.sny_202310_backup_merge_receiptd_iy_day</v>
      </c>
      <c r="O11" s="76"/>
      <c r="P11" s="76"/>
      <c r="Q11" s="76"/>
      <c r="R11" s="76"/>
      <c r="S11" s="76"/>
      <c r="T11" s="76"/>
      <c r="AJ11" s="76" t="str">
        <f>"ADD CONSTRAINT "&amp;D$8&amp;"_pkey PRIMARY KEY"</f>
        <v>ADD CONSTRAINT sny_202310_backup_merge_receiptd_iy_day_pkey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910</v>
      </c>
      <c r="D20" s="13" t="s">
        <v>911</v>
      </c>
      <c r="E20" s="7"/>
      <c r="F20" s="7" t="s">
        <v>865</v>
      </c>
      <c r="G20" s="7" t="str">
        <f t="shared" si="3"/>
        <v>text</v>
      </c>
      <c r="H20" s="58" t="s">
        <v>1163</v>
      </c>
      <c r="I20" s="23" t="s">
        <v>127</v>
      </c>
      <c r="J20" s="24" t="s">
        <v>1164</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milscm_2023_009.sny_202310_backup_merge_receiptd_iy_day.receipt_no IS 'レセプト番号';</v>
      </c>
    </row>
    <row r="22" spans="1:52" s="25" customFormat="1">
      <c r="A22" s="4"/>
      <c r="B22" s="21">
        <f t="shared" si="2"/>
        <v>10</v>
      </c>
      <c r="C22" s="13" t="s">
        <v>914</v>
      </c>
      <c r="D22" s="13" t="s">
        <v>915</v>
      </c>
      <c r="E22" s="7" t="s">
        <v>127</v>
      </c>
      <c r="F22" s="7" t="s">
        <v>204</v>
      </c>
      <c r="G22" s="7" t="str">
        <f t="shared" si="3"/>
        <v>integer</v>
      </c>
      <c r="H22" s="58"/>
      <c r="I22" s="23" t="s">
        <v>127</v>
      </c>
      <c r="J22" s="24" t="s">
        <v>1119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milscm_2023_009.sny_202310_backup_merge_receiptd_iy_day.karute_no IS 'カルテ番号等';</v>
      </c>
    </row>
    <row r="24" spans="1:52" s="25" customFormat="1">
      <c r="A24" s="4"/>
      <c r="B24" s="21">
        <f t="shared" si="2"/>
        <v>12</v>
      </c>
      <c r="C24" s="13" t="s">
        <v>1200</v>
      </c>
      <c r="D24" s="13" t="s">
        <v>1201</v>
      </c>
      <c r="E24" s="7"/>
      <c r="F24" s="7" t="s">
        <v>865</v>
      </c>
      <c r="G24" s="7" t="str">
        <f t="shared" si="3"/>
        <v>text</v>
      </c>
      <c r="H24" s="58"/>
      <c r="I24" s="23"/>
      <c r="J24" s="24" t="s">
        <v>1235</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1151</v>
      </c>
      <c r="D25" s="13" t="s">
        <v>1152</v>
      </c>
      <c r="E25" s="7" t="s">
        <v>127</v>
      </c>
      <c r="F25" s="7" t="s">
        <v>865</v>
      </c>
      <c r="G25" s="7" t="str">
        <f t="shared" si="3"/>
        <v>text</v>
      </c>
      <c r="H25" s="58"/>
      <c r="I25" s="23" t="s">
        <v>127</v>
      </c>
      <c r="J25" s="24" t="s">
        <v>1154</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milscm_2023_009.sny_202310_backup_merge_receiptd_iy_day.santei_ymd IS '算定日';</v>
      </c>
    </row>
    <row r="26" spans="1:52" s="25" customFormat="1" ht="19.5" thickBot="1">
      <c r="A26" s="4"/>
      <c r="B26" s="27">
        <f>ROW()-12</f>
        <v>14</v>
      </c>
      <c r="C26" s="57" t="s">
        <v>1153</v>
      </c>
      <c r="D26" s="57" t="s">
        <v>1134</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ENT_01_C3-24</v>
      </c>
      <c r="E6" s="240"/>
      <c r="F6" s="240"/>
      <c r="G6" s="240"/>
      <c r="H6" s="240"/>
      <c r="I6" s="240"/>
      <c r="J6" s="241"/>
    </row>
    <row r="7" spans="1:45">
      <c r="B7" s="229" t="s">
        <v>115</v>
      </c>
      <c r="C7" s="230"/>
      <c r="D7" s="231" t="s">
        <v>1241</v>
      </c>
      <c r="E7" s="232"/>
      <c r="F7" s="232"/>
      <c r="G7" s="232"/>
      <c r="H7" s="232"/>
      <c r="I7" s="232"/>
      <c r="J7" s="233"/>
    </row>
    <row r="8" spans="1:45">
      <c r="B8" s="229" t="s">
        <v>116</v>
      </c>
      <c r="C8" s="230"/>
      <c r="D8" s="231" t="str">
        <f>エンティティ一覧!AE2&amp;"_"&amp;D5&amp;"_merge_receiptd_tr"</f>
        <v>sny_202310_backup_merge_receiptd_tr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milscm_2023_009.sny_202310_backup_merge_receiptd_tr;</v>
      </c>
      <c r="O10" s="76"/>
      <c r="P10" s="76"/>
      <c r="Q10" s="76"/>
      <c r="R10" s="76"/>
      <c r="S10" s="76"/>
      <c r="T10" s="76"/>
      <c r="AJ10" s="76" t="str">
        <f>"ALTER TABLE ONLY "&amp;エンティティ一覧!$O$2&amp;"."&amp;D$8</f>
        <v>ALTER TABLE ONLY milscm_2023_009.sny_202310_backup_merge_receiptd_tr</v>
      </c>
      <c r="AS10" s="76" t="str">
        <f>"ALTER TABLE "&amp;エンティティ一覧!$O$2&amp;"."&amp;D$8&amp;" OWNER TO pgmisgrp1;"</f>
        <v>ALTER TABLE milscm_2023_009.sny_202310_backup_merge_receiptd_tr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milscm_2023_009.sny_202310_backup_merge_receiptd_tr</v>
      </c>
      <c r="O11" s="76"/>
      <c r="P11" s="76"/>
      <c r="Q11" s="76"/>
      <c r="R11" s="76"/>
      <c r="S11" s="76"/>
      <c r="T11" s="76"/>
      <c r="AJ11" s="76" t="str">
        <f>"ADD CONSTRAINT "&amp;D$8&amp;"_pkey PRIMARY KEY"</f>
        <v>ADD CONSTRAINT sny_202310_backup_merge_receiptd_tr_pkey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910</v>
      </c>
      <c r="D20" s="13" t="s">
        <v>911</v>
      </c>
      <c r="E20" s="7"/>
      <c r="F20" s="7" t="s">
        <v>865</v>
      </c>
      <c r="G20" s="7" t="str">
        <f t="shared" si="3"/>
        <v>text</v>
      </c>
      <c r="H20" s="58" t="s">
        <v>1195</v>
      </c>
      <c r="I20" s="23" t="s">
        <v>127</v>
      </c>
      <c r="J20" s="24" t="s">
        <v>1196</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milscm_2023_009.sny_202310_backup_merge_receiptd_tr.gyo_no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milscm_2023_009.sny_202310_backup_merge_receiptd_tr.karute_no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milscm_2023_009.sny_202310_backup_merge_receiptd_tr.receipt_sokatsu_kubun IS 'レセプト総括区分';</v>
      </c>
    </row>
    <row r="25" spans="1:45" s="25" customFormat="1" ht="31.5">
      <c r="A25" s="4"/>
      <c r="B25" s="21">
        <f t="shared" si="2"/>
        <v>13</v>
      </c>
      <c r="C25" s="13" t="s">
        <v>1168</v>
      </c>
      <c r="D25" s="13" t="s">
        <v>1169</v>
      </c>
      <c r="E25" s="7"/>
      <c r="F25" s="7" t="s">
        <v>204</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1170</v>
      </c>
      <c r="D26" s="13" t="s">
        <v>1171</v>
      </c>
      <c r="E26" s="7"/>
      <c r="F26" s="7" t="s">
        <v>865</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milscm_2023_009.sny_202310_backup_merge_receiptd_tr.zoki_receipt_type IS '臓器提供者レセプト種別';</v>
      </c>
    </row>
    <row r="27" spans="1:45" s="25" customFormat="1" ht="56.25">
      <c r="A27" s="4"/>
      <c r="B27" s="21">
        <f t="shared" si="2"/>
        <v>15</v>
      </c>
      <c r="C27" s="13" t="s">
        <v>1172</v>
      </c>
      <c r="D27" s="13" t="s">
        <v>1173</v>
      </c>
      <c r="E27" s="7"/>
      <c r="F27" s="7" t="s">
        <v>865</v>
      </c>
      <c r="G27" s="7" t="str">
        <f t="shared" si="3"/>
        <v>text</v>
      </c>
      <c r="H27" s="58"/>
      <c r="I27" s="23"/>
      <c r="J27" s="24" t="s">
        <v>933</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924</v>
      </c>
      <c r="D28" s="13" t="s">
        <v>925</v>
      </c>
      <c r="E28" s="7"/>
      <c r="F28" s="7" t="s">
        <v>865</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milscm_2023_009.sny_202310_backup_merge_receiptd_tr.reserve1 IS '予備1';</v>
      </c>
    </row>
    <row r="29" spans="1:45" s="25" customFormat="1">
      <c r="A29" s="4"/>
      <c r="B29" s="21">
        <f t="shared" si="2"/>
        <v>17</v>
      </c>
      <c r="C29" s="13" t="s">
        <v>1174</v>
      </c>
      <c r="D29" s="13" t="s">
        <v>947</v>
      </c>
      <c r="E29" s="7"/>
      <c r="F29" s="7" t="s">
        <v>865</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milscm_2023_009.sny_202310_backup_merge_receiptd_tr.sex_kubun IS '男女区分';</v>
      </c>
    </row>
    <row r="30" spans="1:45" s="25" customFormat="1" ht="93.75">
      <c r="A30" s="4"/>
      <c r="B30" s="21">
        <f t="shared" si="2"/>
        <v>18</v>
      </c>
      <c r="C30" s="13" t="s">
        <v>567</v>
      </c>
      <c r="D30" s="13" t="s">
        <v>322</v>
      </c>
      <c r="E30" s="7"/>
      <c r="F30" s="7" t="s">
        <v>865</v>
      </c>
      <c r="G30" s="7" t="str">
        <f t="shared" si="3"/>
        <v>text</v>
      </c>
      <c r="H30" s="58"/>
      <c r="I30" s="23"/>
      <c r="J30" s="24" t="s">
        <v>1197</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975</v>
      </c>
      <c r="D31" s="13" t="s">
        <v>976</v>
      </c>
      <c r="E31" s="7"/>
      <c r="F31" s="7" t="s">
        <v>865</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milscm_2023_009.sny_202310_backup_merge_receiptd_tr.reserve2 IS '予備2';</v>
      </c>
    </row>
    <row r="32" spans="1:45" s="25" customFormat="1" ht="75">
      <c r="A32" s="4"/>
      <c r="B32" s="21">
        <f t="shared" si="2"/>
        <v>20</v>
      </c>
      <c r="C32" s="13" t="s">
        <v>143</v>
      </c>
      <c r="D32" s="13" t="s">
        <v>156</v>
      </c>
      <c r="E32" s="7"/>
      <c r="F32" s="7" t="s">
        <v>865</v>
      </c>
      <c r="G32" s="7" t="str">
        <f t="shared" si="3"/>
        <v>text</v>
      </c>
      <c r="H32" s="58"/>
      <c r="I32" s="23"/>
      <c r="J32" s="24" t="s">
        <v>1068</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1175</v>
      </c>
      <c r="D33" s="13" t="s">
        <v>952</v>
      </c>
      <c r="E33" s="7"/>
      <c r="F33" s="7" t="s">
        <v>865</v>
      </c>
      <c r="G33" s="7" t="str">
        <f t="shared" si="3"/>
        <v>text</v>
      </c>
      <c r="H33" s="58"/>
      <c r="I33" s="23"/>
      <c r="J33" s="24" t="s">
        <v>1069</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1176</v>
      </c>
      <c r="D34" s="13" t="s">
        <v>954</v>
      </c>
      <c r="E34" s="7"/>
      <c r="F34" s="7" t="s">
        <v>865</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1177</v>
      </c>
      <c r="D35" s="13" t="s">
        <v>956</v>
      </c>
      <c r="E35" s="7"/>
      <c r="F35" s="7" t="s">
        <v>865</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1178</v>
      </c>
      <c r="D36" s="13" t="s">
        <v>958</v>
      </c>
      <c r="E36" s="7"/>
      <c r="F36" s="7" t="s">
        <v>865</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977</v>
      </c>
      <c r="D37" s="13" t="s">
        <v>978</v>
      </c>
      <c r="E37" s="7"/>
      <c r="F37" s="7" t="s">
        <v>865</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milscm_2023_009.sny_202310_backup_merge_receiptd_tr.reserve3 IS '予備3';</v>
      </c>
    </row>
    <row r="38" spans="1:45" s="25" customFormat="1">
      <c r="A38" s="4"/>
      <c r="B38" s="21">
        <f t="shared" si="2"/>
        <v>26</v>
      </c>
      <c r="C38" s="13" t="s">
        <v>1179</v>
      </c>
      <c r="D38" s="13" t="s">
        <v>962</v>
      </c>
      <c r="E38" s="7"/>
      <c r="F38" s="7" t="s">
        <v>865</v>
      </c>
      <c r="G38" s="7" t="str">
        <f t="shared" si="3"/>
        <v>text</v>
      </c>
      <c r="H38" s="58"/>
      <c r="I38" s="23"/>
      <c r="J38" s="24" t="s">
        <v>1070</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1180</v>
      </c>
      <c r="D39" s="13" t="s">
        <v>964</v>
      </c>
      <c r="E39" s="7"/>
      <c r="F39" s="7" t="s">
        <v>865</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1181</v>
      </c>
      <c r="D40" s="13" t="s">
        <v>966</v>
      </c>
      <c r="E40" s="7"/>
      <c r="F40" s="7" t="s">
        <v>865</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1182</v>
      </c>
      <c r="D41" s="13" t="s">
        <v>968</v>
      </c>
      <c r="E41" s="7"/>
      <c r="F41" s="7" t="s">
        <v>865</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1183</v>
      </c>
      <c r="D42" s="13" t="s">
        <v>970</v>
      </c>
      <c r="E42" s="7"/>
      <c r="F42" s="7" t="s">
        <v>865</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1184</v>
      </c>
      <c r="D43" s="13" t="s">
        <v>1185</v>
      </c>
      <c r="E43" s="7"/>
      <c r="F43" s="7" t="s">
        <v>865</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milscm_2023_009.sny_202310_backup_merge_receiptd_tr.reserve4 IS '予備4';</v>
      </c>
    </row>
    <row r="44" spans="1:45" s="25" customFormat="1" ht="31.5">
      <c r="A44" s="4"/>
      <c r="B44" s="21">
        <f t="shared" si="2"/>
        <v>32</v>
      </c>
      <c r="C44" s="13" t="s">
        <v>1186</v>
      </c>
      <c r="D44" s="13" t="s">
        <v>1187</v>
      </c>
      <c r="E44" s="7"/>
      <c r="F44" s="7" t="s">
        <v>865</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1188</v>
      </c>
      <c r="D45" s="13" t="s">
        <v>974</v>
      </c>
      <c r="E45" s="7"/>
      <c r="F45" s="7" t="s">
        <v>204</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1189</v>
      </c>
      <c r="D46" s="13" t="s">
        <v>1190</v>
      </c>
      <c r="E46" s="7"/>
      <c r="F46" s="7" t="s">
        <v>865</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milscm_2023_009.sny_202310_backup_merge_receiptd_tr.reserve5 IS '予備5';</v>
      </c>
    </row>
    <row r="47" spans="1:45" s="25" customFormat="1">
      <c r="A47" s="4"/>
      <c r="B47" s="21">
        <f t="shared" si="2"/>
        <v>35</v>
      </c>
      <c r="C47" s="13" t="s">
        <v>1191</v>
      </c>
      <c r="D47" s="13" t="s">
        <v>1192</v>
      </c>
      <c r="E47" s="7"/>
      <c r="F47" s="7" t="s">
        <v>865</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milscm_2023_009.sny_202310_backup_merge_receiptd_tr.reserve6 IS '予備6';</v>
      </c>
    </row>
    <row r="48" spans="1:45" s="25" customFormat="1" ht="19.5" thickBot="1">
      <c r="A48" s="4"/>
      <c r="B48" s="27">
        <f>ROW()-12</f>
        <v>36</v>
      </c>
      <c r="C48" s="57" t="s">
        <v>1193</v>
      </c>
      <c r="D48" s="57" t="s">
        <v>1194</v>
      </c>
      <c r="E48" s="56"/>
      <c r="F48" s="56" t="s">
        <v>865</v>
      </c>
      <c r="G48" s="56" t="str">
        <f t="shared" si="3"/>
        <v>text</v>
      </c>
      <c r="H48" s="59"/>
      <c r="I48" s="60"/>
      <c r="J48" s="64"/>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ENT_01_C4-01</v>
      </c>
      <c r="E6" s="240"/>
      <c r="F6" s="240"/>
      <c r="G6" s="240"/>
      <c r="H6" s="240"/>
      <c r="I6" s="240"/>
      <c r="J6" s="241"/>
    </row>
    <row r="7" spans="1:45">
      <c r="B7" s="229" t="s">
        <v>115</v>
      </c>
      <c r="C7" s="230"/>
      <c r="D7" s="231" t="s">
        <v>1243</v>
      </c>
      <c r="E7" s="232"/>
      <c r="F7" s="232"/>
      <c r="G7" s="232"/>
      <c r="H7" s="232"/>
      <c r="I7" s="232"/>
      <c r="J7" s="233"/>
    </row>
    <row r="8" spans="1:45">
      <c r="B8" s="229" t="s">
        <v>116</v>
      </c>
      <c r="C8" s="230"/>
      <c r="D8" s="231" t="str">
        <f>エンティティ一覧!AE2&amp;"_"&amp;D5&amp;"_merge_mml_pi_master"</f>
        <v>sny_202310_backup_merge_mml_pi_master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milscm_2023_009.sny_202310_backup_merge_mml_pi_master;</v>
      </c>
      <c r="O10" s="76"/>
      <c r="P10" s="76"/>
      <c r="Q10" s="76"/>
      <c r="R10" s="76"/>
      <c r="S10" s="76"/>
      <c r="T10" s="76"/>
      <c r="AJ10" s="76" t="str">
        <f>"ALTER TABLE ONLY "&amp;エンティティ一覧!$O$2&amp;"."&amp;D$8</f>
        <v>ALTER TABLE ONLY milscm_2023_009.sny_202310_backup_merge_mml_pi_master</v>
      </c>
      <c r="AS10" s="76" t="str">
        <f>"ALTER TABLE "&amp;エンティティ一覧!$O$2&amp;"."&amp;D$8&amp;" OWNER TO pgmisgrp1;"</f>
        <v>ALTER TABLE milscm_2023_009.sny_202310_backup_merge_mml_pi_master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milscm_2023_009.sny_202310_backup_merge_mml_pi_master</v>
      </c>
      <c r="O11" s="76"/>
      <c r="P11" s="76"/>
      <c r="Q11" s="76"/>
      <c r="R11" s="76"/>
      <c r="S11" s="76"/>
      <c r="T11" s="76"/>
      <c r="AJ11" s="76" t="str">
        <f>"ADD CONSTRAINT "&amp;D$8&amp;"_pkey PRIMARY KEY"</f>
        <v>ADD CONSTRAINT sny_202310_backup_merge_mml_pi_master_pkey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1284</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milscm_2023_009.sny_202310_backup_merge_mml_pi_master.mil_karute_id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milscm_2023_009.sny_202310_backup_merge_mml_pi_master.facility_id IS '施設ID';</v>
      </c>
    </row>
    <row r="16" spans="1:45" s="25" customFormat="1" ht="75">
      <c r="A16" s="4"/>
      <c r="B16" s="21">
        <f t="shared" si="2"/>
        <v>4</v>
      </c>
      <c r="C16" s="13" t="s">
        <v>1244</v>
      </c>
      <c r="D16" s="13" t="s">
        <v>1245</v>
      </c>
      <c r="E16" s="7"/>
      <c r="F16" s="7" t="s">
        <v>865</v>
      </c>
      <c r="G16" s="7" t="str">
        <f t="shared" si="3"/>
        <v>text</v>
      </c>
      <c r="H16" s="58"/>
      <c r="I16" s="23" t="s">
        <v>127</v>
      </c>
      <c r="J16" s="24" t="s">
        <v>1286</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1246</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milscm_2023_009.sny_202310_backup_merge_mml_pi_master.data_type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milscm_2023_009.sny_202310_backup_merge_mml_pi_master.master_id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1251</v>
      </c>
      <c r="D20" s="13" t="s">
        <v>1252</v>
      </c>
      <c r="E20" s="7" t="s">
        <v>127</v>
      </c>
      <c r="F20" s="7" t="s">
        <v>204</v>
      </c>
      <c r="G20" s="7" t="str">
        <f t="shared" si="3"/>
        <v>integer</v>
      </c>
      <c r="H20" s="58"/>
      <c r="I20" s="23" t="s">
        <v>127</v>
      </c>
      <c r="J20" s="24" t="s">
        <v>1291</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1253</v>
      </c>
      <c r="D21" s="13" t="s">
        <v>1254</v>
      </c>
      <c r="E21" s="7"/>
      <c r="F21" s="7" t="s">
        <v>865</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milscm_2023_009.sny_202310_backup_merge_mml_pi_master.main_id IS '主ID';</v>
      </c>
    </row>
    <row r="22" spans="1:45" s="25" customFormat="1">
      <c r="A22" s="4"/>
      <c r="B22" s="21">
        <f t="shared" si="2"/>
        <v>10</v>
      </c>
      <c r="C22" s="13" t="s">
        <v>1255</v>
      </c>
      <c r="D22" s="13" t="s">
        <v>1256</v>
      </c>
      <c r="E22" s="7"/>
      <c r="F22" s="7" t="s">
        <v>865</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1257</v>
      </c>
      <c r="D23" s="13" t="s">
        <v>1258</v>
      </c>
      <c r="E23" s="7"/>
      <c r="F23" s="7" t="s">
        <v>865</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1259</v>
      </c>
      <c r="D24" s="13" t="s">
        <v>1260</v>
      </c>
      <c r="E24" s="7"/>
      <c r="F24" s="7" t="s">
        <v>865</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milscm_2023_009.sny_202310_backup_merge_mml_pi_master.main_id_check_digit IS '主IDチェックディジット';</v>
      </c>
    </row>
    <row r="25" spans="1:45" s="25" customFormat="1" ht="56.25">
      <c r="A25" s="4"/>
      <c r="B25" s="21">
        <f t="shared" si="2"/>
        <v>13</v>
      </c>
      <c r="C25" s="13" t="s">
        <v>1261</v>
      </c>
      <c r="D25" s="13" t="s">
        <v>1262</v>
      </c>
      <c r="E25" s="7"/>
      <c r="F25" s="7" t="s">
        <v>865</v>
      </c>
      <c r="G25" s="7" t="str">
        <f t="shared" si="3"/>
        <v>text</v>
      </c>
      <c r="H25" s="58"/>
      <c r="I25" s="23"/>
      <c r="J25" s="24" t="s">
        <v>1292</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milscm_2023_009.sny_202310_backup_merge_mml_pi_master.main_id_check_digit_system IS '主IDチェックディジット方式';</v>
      </c>
    </row>
    <row r="26" spans="1:45" s="25" customFormat="1" ht="37.5">
      <c r="A26" s="4"/>
      <c r="B26" s="21">
        <f t="shared" si="2"/>
        <v>14</v>
      </c>
      <c r="C26" s="13" t="s">
        <v>567</v>
      </c>
      <c r="D26" s="13" t="s">
        <v>322</v>
      </c>
      <c r="E26" s="7"/>
      <c r="F26" s="7" t="s">
        <v>865</v>
      </c>
      <c r="G26" s="7" t="str">
        <f t="shared" si="3"/>
        <v>text</v>
      </c>
      <c r="H26" s="58"/>
      <c r="I26" s="23"/>
      <c r="J26" s="24" t="s">
        <v>1293</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milscm_2023_009.sny_202310_backup_merge_mml_pi_master.birthday IS '生年月日';</v>
      </c>
    </row>
    <row r="27" spans="1:45" s="25" customFormat="1" ht="37.5">
      <c r="A27" s="4"/>
      <c r="B27" s="21">
        <f t="shared" si="2"/>
        <v>15</v>
      </c>
      <c r="C27" s="13" t="s">
        <v>569</v>
      </c>
      <c r="D27" s="13" t="s">
        <v>1263</v>
      </c>
      <c r="E27" s="7"/>
      <c r="F27" s="7" t="s">
        <v>865</v>
      </c>
      <c r="G27" s="7" t="str">
        <f t="shared" si="3"/>
        <v>text</v>
      </c>
      <c r="H27" s="58"/>
      <c r="I27" s="23"/>
      <c r="J27" s="24" t="s">
        <v>1294</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milscm_2023_009.sny_202310_backup_merge_mml_pi_master.sex IS '性別';</v>
      </c>
    </row>
    <row r="28" spans="1:45" s="25" customFormat="1">
      <c r="A28" s="4"/>
      <c r="B28" s="21">
        <f t="shared" si="2"/>
        <v>16</v>
      </c>
      <c r="C28" s="13" t="s">
        <v>946</v>
      </c>
      <c r="D28" s="13" t="s">
        <v>947</v>
      </c>
      <c r="E28" s="7"/>
      <c r="F28" s="7" t="s">
        <v>865</v>
      </c>
      <c r="G28" s="7" t="str">
        <f t="shared" si="3"/>
        <v>text</v>
      </c>
      <c r="H28" s="58"/>
      <c r="I28" s="23"/>
      <c r="J28" s="24" t="s">
        <v>1295</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milscm_2023_009.sny_202310_backup_merge_mml_pi_master.sex_kubun IS '男女区分';</v>
      </c>
    </row>
    <row r="29" spans="1:45" s="25" customFormat="1" ht="37.5">
      <c r="A29" s="4"/>
      <c r="B29" s="21">
        <f t="shared" si="2"/>
        <v>17</v>
      </c>
      <c r="C29" s="13" t="s">
        <v>1264</v>
      </c>
      <c r="D29" s="13" t="s">
        <v>1265</v>
      </c>
      <c r="E29" s="7"/>
      <c r="F29" s="7" t="s">
        <v>865</v>
      </c>
      <c r="G29" s="7" t="str">
        <f t="shared" si="3"/>
        <v>text</v>
      </c>
      <c r="H29" s="58"/>
      <c r="I29" s="23"/>
      <c r="J29" s="24" t="s">
        <v>1296</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1266</v>
      </c>
      <c r="D30" s="13" t="s">
        <v>1267</v>
      </c>
      <c r="E30" s="7"/>
      <c r="F30" s="7" t="s">
        <v>865</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1268</v>
      </c>
      <c r="D31" s="13" t="s">
        <v>1269</v>
      </c>
      <c r="E31" s="7"/>
      <c r="F31" s="7" t="s">
        <v>865</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1270</v>
      </c>
      <c r="D32" s="13" t="s">
        <v>1271</v>
      </c>
      <c r="E32" s="7"/>
      <c r="F32" s="7" t="s">
        <v>865</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1272</v>
      </c>
      <c r="D33" s="13" t="s">
        <v>1273</v>
      </c>
      <c r="E33" s="7"/>
      <c r="F33" s="7" t="s">
        <v>865</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milscm_2023_009.sny_202310_backup_merge_mml_pi_master.race_code_id IS '人種、民族使用テーブル';</v>
      </c>
    </row>
    <row r="34" spans="1:52" s="25" customFormat="1" ht="37.5">
      <c r="A34" s="4"/>
      <c r="B34" s="21">
        <f t="shared" si="2"/>
        <v>22</v>
      </c>
      <c r="C34" s="13" t="s">
        <v>1274</v>
      </c>
      <c r="D34" s="13" t="s">
        <v>1275</v>
      </c>
      <c r="E34" s="7"/>
      <c r="F34" s="7" t="s">
        <v>865</v>
      </c>
      <c r="G34" s="7" t="str">
        <f t="shared" si="3"/>
        <v>text</v>
      </c>
      <c r="H34" s="58"/>
      <c r="I34" s="23"/>
      <c r="J34" s="24" t="s">
        <v>1297</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1276</v>
      </c>
      <c r="D35" s="13" t="s">
        <v>1277</v>
      </c>
      <c r="E35" s="7"/>
      <c r="F35" s="7" t="s">
        <v>865</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1278</v>
      </c>
      <c r="D36" s="13" t="s">
        <v>1279</v>
      </c>
      <c r="E36" s="7"/>
      <c r="F36" s="7" t="s">
        <v>865</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1280</v>
      </c>
      <c r="D37" s="13" t="s">
        <v>1281</v>
      </c>
      <c r="E37" s="7"/>
      <c r="F37" s="7" t="s">
        <v>865</v>
      </c>
      <c r="G37" s="7" t="str">
        <f t="shared" si="3"/>
        <v>text</v>
      </c>
      <c r="H37" s="58"/>
      <c r="I37" s="23"/>
      <c r="J37" s="24" t="s">
        <v>1298</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milscm_2023_009.sny_202310_backup_merge_mml_pi_master.death_flag IS '死亡フラグ';</v>
      </c>
    </row>
    <row r="38" spans="1:52" s="25" customFormat="1" ht="19.5" thickBot="1">
      <c r="A38" s="4"/>
      <c r="B38" s="27">
        <f>ROW()-12</f>
        <v>26</v>
      </c>
      <c r="C38" s="57" t="s">
        <v>1282</v>
      </c>
      <c r="D38" s="57" t="s">
        <v>1283</v>
      </c>
      <c r="E38" s="56"/>
      <c r="F38" s="56" t="s">
        <v>865</v>
      </c>
      <c r="G38" s="56" t="str">
        <f t="shared" si="3"/>
        <v>text</v>
      </c>
      <c r="H38" s="59"/>
      <c r="I38" s="60"/>
      <c r="J38" s="64" t="s">
        <v>1299</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ENT_01_C4-03</v>
      </c>
      <c r="E6" s="240"/>
      <c r="F6" s="240"/>
      <c r="G6" s="240"/>
      <c r="H6" s="240"/>
      <c r="I6" s="240"/>
      <c r="J6" s="241"/>
    </row>
    <row r="7" spans="1:45">
      <c r="B7" s="229" t="s">
        <v>115</v>
      </c>
      <c r="C7" s="230"/>
      <c r="D7" s="231" t="s">
        <v>1301</v>
      </c>
      <c r="E7" s="232"/>
      <c r="F7" s="232"/>
      <c r="G7" s="232"/>
      <c r="H7" s="232"/>
      <c r="I7" s="232"/>
      <c r="J7" s="233"/>
    </row>
    <row r="8" spans="1:45">
      <c r="B8" s="229" t="s">
        <v>116</v>
      </c>
      <c r="C8" s="230"/>
      <c r="D8" s="231" t="str">
        <f>エンティティ一覧!AE2&amp;"_"&amp;D5&amp;"_merge_mml_rd_register"</f>
        <v>sny_202310_backup_merge_mml_rd_register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milscm_2023_009.sny_202310_backup_merge_mml_rd_register;</v>
      </c>
      <c r="O10" s="76"/>
      <c r="P10" s="76"/>
      <c r="Q10" s="76"/>
      <c r="R10" s="76"/>
      <c r="S10" s="76"/>
      <c r="T10" s="76"/>
      <c r="AJ10" s="76" t="str">
        <f>"ALTER TABLE ONLY "&amp;エンティティ一覧!$O$2&amp;"."&amp;D$8</f>
        <v>ALTER TABLE ONLY milscm_2023_009.sny_202310_backup_merge_mml_rd_register</v>
      </c>
      <c r="AS10" s="76" t="str">
        <f>"ALTER TABLE "&amp;エンティティ一覧!$O$2&amp;"."&amp;D$8&amp;" OWNER TO pgmisgrp1;"</f>
        <v>ALTER TABLE milscm_2023_009.sny_202310_backup_merge_mml_rd_register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milscm_2023_009.sny_202310_backup_merge_mml_rd_register</v>
      </c>
      <c r="O11" s="76"/>
      <c r="P11" s="76"/>
      <c r="Q11" s="76"/>
      <c r="R11" s="76"/>
      <c r="S11" s="76"/>
      <c r="T11" s="76"/>
      <c r="AJ11" s="76" t="str">
        <f>"ADD CONSTRAINT "&amp;D$8&amp;"_pkey PRIMARY KEY"</f>
        <v>ADD CONSTRAINT sny_202310_backup_merge_mml_rd_register_pkey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milscm_2023_009.sny_202310_backup_merge_mml_rd_register.facility_id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milscm_2023_009.sny_202310_backup_merge_mml_rd_register.data_type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milscm_2023_009.sny_202310_backup_merge_mml_rd_register.master_id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milscm_2023_009.sny_202310_backup_merge_mml_rd_register.uid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1305</v>
      </c>
      <c r="D21" s="13" t="s">
        <v>1306</v>
      </c>
      <c r="E21" s="7"/>
      <c r="F21" s="7" t="s">
        <v>865</v>
      </c>
      <c r="G21" s="7" t="str">
        <f t="shared" si="3"/>
        <v>text</v>
      </c>
      <c r="H21" s="58"/>
      <c r="I21" s="23"/>
      <c r="J21" s="24" t="s">
        <v>1315</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1307</v>
      </c>
      <c r="D22" s="13" t="s">
        <v>1308</v>
      </c>
      <c r="E22" s="7"/>
      <c r="F22" s="7" t="s">
        <v>865</v>
      </c>
      <c r="G22" s="7" t="str">
        <f t="shared" si="3"/>
        <v>text</v>
      </c>
      <c r="H22" s="58"/>
      <c r="I22" s="23"/>
      <c r="J22" s="24" t="s">
        <v>1316</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1309</v>
      </c>
      <c r="D23" s="13" t="s">
        <v>1310</v>
      </c>
      <c r="E23" s="7"/>
      <c r="F23" s="7" t="s">
        <v>865</v>
      </c>
      <c r="G23" s="7" t="str">
        <f t="shared" si="3"/>
        <v>text</v>
      </c>
      <c r="H23" s="58"/>
      <c r="I23" s="23"/>
      <c r="J23" s="24" t="s">
        <v>1317</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milscm_2023_009.sny_202310_backup_merge_mml_rd_register.tenki IS '転帰';</v>
      </c>
    </row>
    <row r="24" spans="1:52" s="25" customFormat="1" ht="19.5" thickBot="1">
      <c r="A24" s="4"/>
      <c r="B24" s="27">
        <f>ROW()-12</f>
        <v>12</v>
      </c>
      <c r="C24" s="57" t="s">
        <v>1311</v>
      </c>
      <c r="D24" s="57" t="s">
        <v>1312</v>
      </c>
      <c r="E24" s="56"/>
      <c r="F24" s="56" t="s">
        <v>865</v>
      </c>
      <c r="G24" s="56" t="str">
        <f t="shared" si="3"/>
        <v>text</v>
      </c>
      <c r="H24" s="59"/>
      <c r="I24" s="60"/>
      <c r="J24" s="64" t="s">
        <v>1318</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ENT_01_C4-04</v>
      </c>
      <c r="E6" s="240"/>
      <c r="F6" s="240"/>
      <c r="G6" s="240"/>
      <c r="H6" s="240"/>
      <c r="I6" s="240"/>
      <c r="J6" s="241"/>
    </row>
    <row r="7" spans="1:45">
      <c r="B7" s="229" t="s">
        <v>115</v>
      </c>
      <c r="C7" s="230"/>
      <c r="D7" s="231" t="s">
        <v>1320</v>
      </c>
      <c r="E7" s="232"/>
      <c r="F7" s="232"/>
      <c r="G7" s="232"/>
      <c r="H7" s="232"/>
      <c r="I7" s="232"/>
      <c r="J7" s="233"/>
    </row>
    <row r="8" spans="1:45">
      <c r="B8" s="229" t="s">
        <v>116</v>
      </c>
      <c r="C8" s="230"/>
      <c r="D8" s="231" t="str">
        <f>エンティティ一覧!AE2&amp;"_"&amp;D5&amp;"_merge_mml_rd_byomei"</f>
        <v>sny_202310_backup_merge_mml_rd_byomei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milscm_2023_009.sny_202310_backup_merge_mml_rd_byomei;</v>
      </c>
      <c r="O10" s="76"/>
      <c r="P10" s="76"/>
      <c r="Q10" s="76"/>
      <c r="R10" s="76"/>
      <c r="S10" s="76"/>
      <c r="T10" s="76"/>
      <c r="AJ10" s="76" t="str">
        <f>"ALTER TABLE ONLY "&amp;エンティティ一覧!$O$2&amp;"."&amp;D$8</f>
        <v>ALTER TABLE ONLY milscm_2023_009.sny_202310_backup_merge_mml_rd_byomei</v>
      </c>
      <c r="AS10" s="76" t="str">
        <f>"ALTER TABLE "&amp;エンティティ一覧!$O$2&amp;"."&amp;D$8&amp;" OWNER TO pgmisgrp1;"</f>
        <v>ALTER TABLE milscm_2023_009.sny_202310_backup_merge_mml_rd_byomei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milscm_2023_009.sny_202310_backup_merge_mml_rd_byomei</v>
      </c>
      <c r="O11" s="76"/>
      <c r="P11" s="76"/>
      <c r="Q11" s="76"/>
      <c r="R11" s="76"/>
      <c r="S11" s="76"/>
      <c r="T11" s="76"/>
      <c r="AJ11" s="76" t="str">
        <f>"ADD CONSTRAINT "&amp;D$8&amp;"_pkey PRIMARY KEY"</f>
        <v>ADD CONSTRAINT sny_202310_backup_merge_mml_rd_byomei_pkey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milscm_2023_009.sny_202310_backup_merge_mml_rd_byomei.facility_id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milscm_2023_009.sny_202310_backup_merge_mml_rd_byomei.data_type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milscm_2023_009.sny_202310_backup_merge_mml_rd_byomei.master_id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milscm_2023_009.sny_202310_backup_merge_mml_rd_byomei.uid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1321</v>
      </c>
      <c r="D21" s="13" t="s">
        <v>1322</v>
      </c>
      <c r="E21" s="7" t="s">
        <v>127</v>
      </c>
      <c r="F21" s="7" t="s">
        <v>204</v>
      </c>
      <c r="G21" s="7" t="str">
        <f t="shared" si="3"/>
        <v>integer</v>
      </c>
      <c r="H21" s="58"/>
      <c r="I21" s="23" t="s">
        <v>127</v>
      </c>
      <c r="J21" s="24" t="s">
        <v>1329</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1323</v>
      </c>
      <c r="D22" s="13" t="s">
        <v>1324</v>
      </c>
      <c r="E22" s="7"/>
      <c r="F22" s="7" t="s">
        <v>865</v>
      </c>
      <c r="G22" s="7" t="str">
        <f t="shared" si="3"/>
        <v>text</v>
      </c>
      <c r="H22" s="58"/>
      <c r="I22" s="23"/>
      <c r="J22" s="24" t="s">
        <v>1330</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milscm_2023_009.sny_202310_backup_merge_mml_rd_byomei.byomei IS '病名';</v>
      </c>
    </row>
    <row r="23" spans="1:52" s="25" customFormat="1">
      <c r="A23" s="4"/>
      <c r="B23" s="21">
        <f t="shared" si="2"/>
        <v>11</v>
      </c>
      <c r="C23" s="13" t="s">
        <v>1325</v>
      </c>
      <c r="D23" s="13" t="s">
        <v>1326</v>
      </c>
      <c r="E23" s="7"/>
      <c r="F23" s="7" t="s">
        <v>865</v>
      </c>
      <c r="G23" s="7" t="str">
        <f t="shared" si="3"/>
        <v>text</v>
      </c>
      <c r="H23" s="58"/>
      <c r="I23" s="23"/>
      <c r="J23" s="24" t="s">
        <v>1331</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milscm_2023_009.sny_202310_backup_merge_mml_rd_byomei.byomei_code IS '病名コード値';</v>
      </c>
    </row>
    <row r="24" spans="1:52" s="25" customFormat="1" ht="19.5" thickBot="1">
      <c r="A24" s="4"/>
      <c r="B24" s="27">
        <f>ROW()-12</f>
        <v>12</v>
      </c>
      <c r="C24" s="57" t="s">
        <v>1327</v>
      </c>
      <c r="D24" s="57" t="s">
        <v>1328</v>
      </c>
      <c r="E24" s="56"/>
      <c r="F24" s="56" t="s">
        <v>865</v>
      </c>
      <c r="G24" s="56" t="str">
        <f t="shared" si="3"/>
        <v>text</v>
      </c>
      <c r="H24" s="59"/>
      <c r="I24" s="60"/>
      <c r="J24" s="64" t="s">
        <v>1332</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ENT_01_C4-05</v>
      </c>
      <c r="E6" s="240"/>
      <c r="F6" s="240"/>
      <c r="G6" s="240"/>
      <c r="H6" s="240"/>
      <c r="I6" s="240"/>
      <c r="J6" s="241"/>
    </row>
    <row r="7" spans="1:45">
      <c r="B7" s="229" t="s">
        <v>115</v>
      </c>
      <c r="C7" s="230"/>
      <c r="D7" s="231" t="s">
        <v>1334</v>
      </c>
      <c r="E7" s="232"/>
      <c r="F7" s="232"/>
      <c r="G7" s="232"/>
      <c r="H7" s="232"/>
      <c r="I7" s="232"/>
      <c r="J7" s="233"/>
    </row>
    <row r="8" spans="1:45">
      <c r="B8" s="229" t="s">
        <v>116</v>
      </c>
      <c r="C8" s="230"/>
      <c r="D8" s="231" t="str">
        <f>エンティティ一覧!AE2&amp;"_"&amp;D5&amp;"_merge_mml_rd_category"</f>
        <v>sny_202310_backup_merge_mml_rd_category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milscm_2023_009.sny_202310_backup_merge_mml_rd_category;</v>
      </c>
      <c r="O10" s="76"/>
      <c r="P10" s="76"/>
      <c r="Q10" s="76"/>
      <c r="R10" s="76"/>
      <c r="S10" s="76"/>
      <c r="T10" s="76"/>
      <c r="AJ10" s="76" t="str">
        <f>"ALTER TABLE ONLY "&amp;エンティティ一覧!$O$2&amp;"."&amp;D$8</f>
        <v>ALTER TABLE ONLY milscm_2023_009.sny_202310_backup_merge_mml_rd_category</v>
      </c>
      <c r="AS10" s="76" t="str">
        <f>"ALTER TABLE "&amp;エンティティ一覧!$O$2&amp;"."&amp;D$8&amp;" OWNER TO pgmisgrp1;"</f>
        <v>ALTER TABLE milscm_2023_009.sny_202310_backup_merge_mml_rd_category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milscm_2023_009.sny_202310_backup_merge_mml_rd_category</v>
      </c>
      <c r="O11" s="76"/>
      <c r="P11" s="76"/>
      <c r="Q11" s="76"/>
      <c r="R11" s="76"/>
      <c r="S11" s="76"/>
      <c r="T11" s="76"/>
      <c r="AJ11" s="76" t="str">
        <f>"ADD CONSTRAINT "&amp;D$8&amp;"_pkey PRIMARY KEY"</f>
        <v>ADD CONSTRAINT sny_202310_backup_merge_mml_rd_category_pkey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milscm_2023_009.sny_202310_backup_merge_mml_rd_category.mil_karute_id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milscm_2023_009.sny_202310_backup_merge_mml_rd_category.facility_id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milscm_2023_009.sny_202310_backup_merge_mml_rd_category.data_type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milscm_2023_009.sny_202310_backup_merge_mml_rd_category.master_id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milscm_2023_009.sny_202310_backup_merge_mml_rd_category.uid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1335</v>
      </c>
      <c r="D21" s="13" t="s">
        <v>1336</v>
      </c>
      <c r="E21" s="7" t="s">
        <v>127</v>
      </c>
      <c r="F21" s="7" t="s">
        <v>204</v>
      </c>
      <c r="G21" s="7" t="str">
        <f t="shared" si="3"/>
        <v>integer</v>
      </c>
      <c r="H21" s="58"/>
      <c r="I21" s="23" t="s">
        <v>127</v>
      </c>
      <c r="J21" s="24" t="s">
        <v>1341</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1337</v>
      </c>
      <c r="D22" s="13" t="s">
        <v>1338</v>
      </c>
      <c r="E22" s="7"/>
      <c r="F22" s="7" t="s">
        <v>865</v>
      </c>
      <c r="G22" s="7" t="str">
        <f t="shared" si="3"/>
        <v>text</v>
      </c>
      <c r="H22" s="58"/>
      <c r="I22" s="23"/>
      <c r="J22" s="24" t="s">
        <v>1342</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milscm_2023_009.sny_202310_backup_merge_mml_rd_category.bunrui_name IS '分類名';</v>
      </c>
    </row>
    <row r="23" spans="1:52" s="25" customFormat="1" ht="94.5" thickBot="1">
      <c r="A23" s="4"/>
      <c r="B23" s="27">
        <f>ROW()-12</f>
        <v>11</v>
      </c>
      <c r="C23" s="57" t="s">
        <v>1339</v>
      </c>
      <c r="D23" s="57" t="s">
        <v>1340</v>
      </c>
      <c r="E23" s="56"/>
      <c r="F23" s="56" t="s">
        <v>865</v>
      </c>
      <c r="G23" s="56" t="str">
        <f t="shared" si="3"/>
        <v>text</v>
      </c>
      <c r="H23" s="59"/>
      <c r="I23" s="60"/>
      <c r="J23" s="64" t="s">
        <v>1343</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ENT_01_C4-06</v>
      </c>
      <c r="E6" s="240"/>
      <c r="F6" s="240"/>
      <c r="G6" s="240"/>
      <c r="H6" s="240"/>
      <c r="I6" s="240"/>
      <c r="J6" s="241"/>
    </row>
    <row r="7" spans="1:45">
      <c r="B7" s="229" t="s">
        <v>115</v>
      </c>
      <c r="C7" s="230"/>
      <c r="D7" s="231" t="s">
        <v>1345</v>
      </c>
      <c r="E7" s="232"/>
      <c r="F7" s="232"/>
      <c r="G7" s="232"/>
      <c r="H7" s="232"/>
      <c r="I7" s="232"/>
      <c r="J7" s="233"/>
    </row>
    <row r="8" spans="1:45">
      <c r="B8" s="229" t="s">
        <v>116</v>
      </c>
      <c r="C8" s="230"/>
      <c r="D8" s="231" t="str">
        <f>エンティティ一覧!AE2&amp;"_"&amp;D5&amp;"_merge_mml_pc_progress_course"</f>
        <v>sny_202310_backup_merge_mml_pc_progress_course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milscm_2023_009.sny_202310_backup_merge_mml_pc_progress_course;</v>
      </c>
      <c r="O10" s="76"/>
      <c r="P10" s="76"/>
      <c r="Q10" s="76"/>
      <c r="R10" s="76"/>
      <c r="S10" s="76"/>
      <c r="T10" s="76"/>
      <c r="AJ10" s="76" t="str">
        <f>"ALTER TABLE ONLY "&amp;エンティティ一覧!$O$2&amp;"."&amp;D$8</f>
        <v>ALTER TABLE ONLY milscm_2023_009.sny_202310_backup_merge_mml_pc_progress_course</v>
      </c>
      <c r="AS10" s="76" t="str">
        <f>"ALTER TABLE "&amp;エンティティ一覧!$O$2&amp;"."&amp;D$8&amp;" OWNER TO pgmisgrp1;"</f>
        <v>ALTER TABLE milscm_2023_009.sny_202310_backup_merge_mml_pc_progress_course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milscm_2023_009.sny_202310_backup_merge_mml_pc_progress_course</v>
      </c>
      <c r="O11" s="76"/>
      <c r="P11" s="76"/>
      <c r="Q11" s="76"/>
      <c r="R11" s="76"/>
      <c r="S11" s="76"/>
      <c r="T11" s="76"/>
      <c r="AJ11" s="76" t="str">
        <f>"ADD CONSTRAINT "&amp;D$8&amp;"_pkey PRIMARY KEY"</f>
        <v>ADD CONSTRAINT sny_202310_backup_merge_mml_pc_progress_course_pkey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1284</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milscm_2023_009.sny_202310_backup_merge_mml_pc_progress_course.facility_id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milscm_2023_009.sny_202310_backup_merge_mml_pc_progress_course.data_type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milscm_2023_009.sny_202310_backup_merge_mml_pc_progress_course.master_id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milscm_2023_009.sny_202310_backup_merge_mml_pc_progress_course.uid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milscm_2023_009.sny_202310_backup_merge_mml_pc_progress_course.keika_seq IS '経過記録SEQ';</v>
      </c>
    </row>
    <row r="21" spans="1:52" s="25" customFormat="1" ht="38.25" thickBot="1">
      <c r="A21" s="4"/>
      <c r="B21" s="27">
        <f>ROW()-12</f>
        <v>9</v>
      </c>
      <c r="C21" s="57" t="s">
        <v>1348</v>
      </c>
      <c r="D21" s="57" t="s">
        <v>1349</v>
      </c>
      <c r="E21" s="56"/>
      <c r="F21" s="56" t="s">
        <v>865</v>
      </c>
      <c r="G21" s="56" t="str">
        <f t="shared" si="3"/>
        <v>text</v>
      </c>
      <c r="H21" s="59"/>
      <c r="I21" s="60"/>
      <c r="J21" s="64" t="s">
        <v>1351</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ENT_01_C4-07</v>
      </c>
      <c r="E6" s="240"/>
      <c r="F6" s="240"/>
      <c r="G6" s="240"/>
      <c r="H6" s="240"/>
      <c r="I6" s="240"/>
      <c r="J6" s="241"/>
    </row>
    <row r="7" spans="1:45">
      <c r="B7" s="229" t="s">
        <v>115</v>
      </c>
      <c r="C7" s="230"/>
      <c r="D7" s="231" t="s">
        <v>1353</v>
      </c>
      <c r="E7" s="232"/>
      <c r="F7" s="232"/>
      <c r="G7" s="232"/>
      <c r="H7" s="232"/>
      <c r="I7" s="232"/>
      <c r="J7" s="233"/>
    </row>
    <row r="8" spans="1:45">
      <c r="B8" s="229" t="s">
        <v>116</v>
      </c>
      <c r="C8" s="230"/>
      <c r="D8" s="231" t="str">
        <f>エンティティ一覧!AE2&amp;"_"&amp;D5&amp;"_merge_mml_pc_problem"</f>
        <v>sny_202310_backup_merge_mml_pc_problem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milscm_2023_009.sny_202310_backup_merge_mml_pc_problem;</v>
      </c>
      <c r="O10" s="76"/>
      <c r="P10" s="76"/>
      <c r="Q10" s="76"/>
      <c r="R10" s="76"/>
      <c r="S10" s="76"/>
      <c r="T10" s="76"/>
      <c r="AJ10" s="76" t="str">
        <f>"ALTER TABLE ONLY "&amp;エンティティ一覧!$O$2&amp;"."&amp;D$8</f>
        <v>ALTER TABLE ONLY milscm_2023_009.sny_202310_backup_merge_mml_pc_problem</v>
      </c>
      <c r="AS10" s="76" t="str">
        <f>"ALTER TABLE "&amp;エンティティ一覧!$O$2&amp;"."&amp;D$8&amp;" OWNER TO pgmisgrp1;"</f>
        <v>ALTER TABLE milscm_2023_009.sny_202310_backup_merge_mml_pc_problem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milscm_2023_009.sny_202310_backup_merge_mml_pc_problem</v>
      </c>
      <c r="O11" s="76"/>
      <c r="P11" s="76"/>
      <c r="Q11" s="76"/>
      <c r="R11" s="76"/>
      <c r="S11" s="76"/>
      <c r="T11" s="76"/>
      <c r="AJ11" s="76" t="str">
        <f>"ADD CONSTRAINT "&amp;D$8&amp;"_pkey PRIMARY KEY"</f>
        <v>ADD CONSTRAINT sny_202310_backup_merge_mml_pc_problem_pkey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milscm_2023_009.sny_202310_backup_merge_mml_pc_problem.facility_id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milscm_2023_009.sny_202310_backup_merge_mml_pc_problem.data_type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milscm_2023_009.sny_202310_backup_merge_mml_pc_problem.master_id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milscm_2023_009.sny_202310_backup_merge_mml_pc_problem.uid IS '文書ユニークID';</v>
      </c>
    </row>
    <row r="20" spans="1:45"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milscm_2023_009.sny_202310_backup_merge_mml_pc_problem.problem_seq IS 'プロブレムSEQ';</v>
      </c>
    </row>
    <row r="22" spans="1:45" s="25" customFormat="1" ht="37.5">
      <c r="A22" s="4"/>
      <c r="B22" s="21">
        <f t="shared" si="2"/>
        <v>10</v>
      </c>
      <c r="C22" s="13" t="s">
        <v>1356</v>
      </c>
      <c r="D22" s="13" t="s">
        <v>1357</v>
      </c>
      <c r="E22" s="7"/>
      <c r="F22" s="7" t="s">
        <v>865</v>
      </c>
      <c r="G22" s="7" t="str">
        <f t="shared" si="3"/>
        <v>text</v>
      </c>
      <c r="H22" s="58"/>
      <c r="I22" s="23"/>
      <c r="J22" s="24" t="s">
        <v>1379</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milscm_2023_009.sny_202310_backup_merge_mml_pc_problem.problem_shippei_name IS 'プロブレム名（疾病名）';</v>
      </c>
    </row>
    <row r="23" spans="1:45" s="25" customFormat="1" ht="56.25">
      <c r="A23" s="4"/>
      <c r="B23" s="21">
        <f t="shared" si="2"/>
        <v>11</v>
      </c>
      <c r="C23" s="13" t="s">
        <v>1358</v>
      </c>
      <c r="D23" s="13" t="s">
        <v>1359</v>
      </c>
      <c r="E23" s="7"/>
      <c r="F23" s="7" t="s">
        <v>865</v>
      </c>
      <c r="G23" s="7" t="str">
        <f t="shared" si="3"/>
        <v>text</v>
      </c>
      <c r="H23" s="58"/>
      <c r="I23" s="23"/>
      <c r="J23" s="24" t="s">
        <v>1380</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milscm_2023_009.sny_202310_backup_merge_mml_pc_problem.shindan_name_uid IS '診断名のuid';</v>
      </c>
    </row>
    <row r="24" spans="1:45" s="25" customFormat="1" ht="37.5">
      <c r="A24" s="4"/>
      <c r="B24" s="21">
        <f t="shared" si="2"/>
        <v>12</v>
      </c>
      <c r="C24" s="13" t="s">
        <v>1360</v>
      </c>
      <c r="D24" s="13" t="s">
        <v>1361</v>
      </c>
      <c r="E24" s="7"/>
      <c r="F24" s="7" t="s">
        <v>865</v>
      </c>
      <c r="G24" s="7" t="str">
        <f t="shared" si="3"/>
        <v>text</v>
      </c>
      <c r="H24" s="58"/>
      <c r="I24" s="23"/>
      <c r="J24" s="24" t="s">
        <v>1381</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milscm_2023_009.sny_202310_backup_merge_mml_pc_problem.free_note IS '自由文章表現';</v>
      </c>
    </row>
    <row r="25" spans="1:45" s="25" customFormat="1" ht="37.5">
      <c r="A25" s="4"/>
      <c r="B25" s="21">
        <f t="shared" si="2"/>
        <v>13</v>
      </c>
      <c r="C25" s="13" t="s">
        <v>1362</v>
      </c>
      <c r="D25" s="13" t="s">
        <v>1363</v>
      </c>
      <c r="E25" s="7"/>
      <c r="F25" s="7" t="s">
        <v>865</v>
      </c>
      <c r="G25" s="7" t="str">
        <f t="shared" si="3"/>
        <v>text</v>
      </c>
      <c r="H25" s="58"/>
      <c r="I25" s="23"/>
      <c r="J25" s="24" t="s">
        <v>1382</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milscm_2023_009.sny_202310_backup_merge_mml_pc_problem.free_expression_objective IS '客観的自由記載';</v>
      </c>
    </row>
    <row r="26" spans="1:45" s="25" customFormat="1" ht="37.5">
      <c r="A26" s="4"/>
      <c r="B26" s="21">
        <f t="shared" si="2"/>
        <v>14</v>
      </c>
      <c r="C26" s="13" t="s">
        <v>1364</v>
      </c>
      <c r="D26" s="13" t="s">
        <v>1365</v>
      </c>
      <c r="E26" s="7"/>
      <c r="F26" s="7" t="s">
        <v>865</v>
      </c>
      <c r="G26" s="7" t="str">
        <f t="shared" si="3"/>
        <v>text</v>
      </c>
      <c r="H26" s="58"/>
      <c r="I26" s="23"/>
      <c r="J26" s="24" t="s">
        <v>1383</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milscm_2023_009.sny_202310_backup_merge_mml_pc_problem.test_result IS '検査結果';</v>
      </c>
    </row>
    <row r="27" spans="1:45" s="25" customFormat="1" ht="37.5">
      <c r="A27" s="4"/>
      <c r="B27" s="21">
        <f t="shared" si="2"/>
        <v>15</v>
      </c>
      <c r="C27" s="13" t="s">
        <v>1366</v>
      </c>
      <c r="D27" s="13" t="s">
        <v>1367</v>
      </c>
      <c r="E27" s="7"/>
      <c r="F27" s="7" t="s">
        <v>865</v>
      </c>
      <c r="G27" s="7" t="str">
        <f t="shared" si="3"/>
        <v>text</v>
      </c>
      <c r="H27" s="58"/>
      <c r="I27" s="23"/>
      <c r="J27" s="24" t="s">
        <v>1384</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milscm_2023_009.sny_202310_backup_merge_mml_pc_problem.shohou_jisshi_kiroku IS '処方実施記録';</v>
      </c>
    </row>
    <row r="28" spans="1:45" s="25" customFormat="1" ht="37.5">
      <c r="A28" s="4"/>
      <c r="B28" s="21">
        <f t="shared" si="2"/>
        <v>16</v>
      </c>
      <c r="C28" s="13" t="s">
        <v>1368</v>
      </c>
      <c r="D28" s="13" t="s">
        <v>1369</v>
      </c>
      <c r="E28" s="7"/>
      <c r="F28" s="7" t="s">
        <v>865</v>
      </c>
      <c r="G28" s="7" t="str">
        <f t="shared" si="3"/>
        <v>text</v>
      </c>
      <c r="H28" s="58"/>
      <c r="I28" s="23"/>
      <c r="J28" s="24" t="s">
        <v>1385</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milscm_2023_009.sny_202310_backup_merge_mml_pc_problem.shochi_jisshi_kiroku IS '処置実施記録';</v>
      </c>
    </row>
    <row r="29" spans="1:45" s="25" customFormat="1" ht="37.5">
      <c r="A29" s="4"/>
      <c r="B29" s="21">
        <f t="shared" si="2"/>
        <v>17</v>
      </c>
      <c r="C29" s="13" t="s">
        <v>1370</v>
      </c>
      <c r="D29" s="13" t="s">
        <v>1371</v>
      </c>
      <c r="E29" s="7"/>
      <c r="F29" s="7" t="s">
        <v>865</v>
      </c>
      <c r="G29" s="7" t="str">
        <f t="shared" si="3"/>
        <v>text</v>
      </c>
      <c r="H29" s="58"/>
      <c r="I29" s="23"/>
      <c r="J29" s="24" t="s">
        <v>1386</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milscm_2023_009.sny_202310_backup_merge_mml_pc_problem.kensa_order IS '検査オーダー';</v>
      </c>
    </row>
    <row r="30" spans="1:45" s="25" customFormat="1" ht="37.5">
      <c r="A30" s="4"/>
      <c r="B30" s="21">
        <f t="shared" si="2"/>
        <v>18</v>
      </c>
      <c r="C30" s="13" t="s">
        <v>1372</v>
      </c>
      <c r="D30" s="13" t="s">
        <v>1373</v>
      </c>
      <c r="E30" s="7"/>
      <c r="F30" s="7" t="s">
        <v>865</v>
      </c>
      <c r="G30" s="7" t="str">
        <f t="shared" si="3"/>
        <v>text</v>
      </c>
      <c r="H30" s="58"/>
      <c r="I30" s="23"/>
      <c r="J30" s="24" t="s">
        <v>1387</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milscm_2023_009.sny_202310_backup_merge_mml_pc_problem.shohou_order IS '処方オーダー';</v>
      </c>
    </row>
    <row r="31" spans="1:45" s="25" customFormat="1" ht="37.5">
      <c r="A31" s="4"/>
      <c r="B31" s="21">
        <f t="shared" si="2"/>
        <v>19</v>
      </c>
      <c r="C31" s="13" t="s">
        <v>1374</v>
      </c>
      <c r="D31" s="13" t="s">
        <v>1375</v>
      </c>
      <c r="E31" s="7"/>
      <c r="F31" s="7" t="s">
        <v>865</v>
      </c>
      <c r="G31" s="7" t="str">
        <f t="shared" si="3"/>
        <v>text</v>
      </c>
      <c r="H31" s="58"/>
      <c r="I31" s="23"/>
      <c r="J31" s="24" t="s">
        <v>1388</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milscm_2023_009.sny_202310_backup_merge_mml_pc_problem.chiryo_order IS '治療処置オーダー';</v>
      </c>
    </row>
    <row r="32" spans="1:45" s="25" customFormat="1" ht="38.25" thickBot="1">
      <c r="A32" s="4"/>
      <c r="B32" s="27">
        <f>ROW()-12</f>
        <v>20</v>
      </c>
      <c r="C32" s="57" t="s">
        <v>1376</v>
      </c>
      <c r="D32" s="57" t="s">
        <v>1377</v>
      </c>
      <c r="E32" s="56"/>
      <c r="F32" s="56" t="s">
        <v>865</v>
      </c>
      <c r="G32" s="56" t="str">
        <f t="shared" si="3"/>
        <v>text</v>
      </c>
      <c r="H32" s="59"/>
      <c r="I32" s="60"/>
      <c r="J32" s="64" t="s">
        <v>1389</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ENT_01_C4-08</v>
      </c>
      <c r="E6" s="240"/>
      <c r="F6" s="240"/>
      <c r="G6" s="240"/>
      <c r="H6" s="240"/>
      <c r="I6" s="240"/>
      <c r="J6" s="241"/>
    </row>
    <row r="7" spans="1:45">
      <c r="B7" s="229" t="s">
        <v>115</v>
      </c>
      <c r="C7" s="230"/>
      <c r="D7" s="231" t="s">
        <v>1391</v>
      </c>
      <c r="E7" s="232"/>
      <c r="F7" s="232"/>
      <c r="G7" s="232"/>
      <c r="H7" s="232"/>
      <c r="I7" s="232"/>
      <c r="J7" s="233"/>
    </row>
    <row r="8" spans="1:45">
      <c r="B8" s="229" t="s">
        <v>116</v>
      </c>
      <c r="C8" s="230"/>
      <c r="D8" s="231" t="str">
        <f>エンティティ一覧!AE2&amp;"_"&amp;D5&amp;"_merge_mml_pc_physical_exam"</f>
        <v>sny_202310_backup_merge_mml_pc_physical_exam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milscm_2023_009.sny_202310_backup_merge_mml_pc_physical_exam;</v>
      </c>
      <c r="O10" s="76"/>
      <c r="P10" s="76"/>
      <c r="Q10" s="76"/>
      <c r="R10" s="76"/>
      <c r="S10" s="76"/>
      <c r="T10" s="76"/>
      <c r="AJ10" s="76" t="str">
        <f>"ALTER TABLE ONLY "&amp;エンティティ一覧!$O$2&amp;"."&amp;D$8</f>
        <v>ALTER TABLE ONLY milscm_2023_009.sny_202310_backup_merge_mml_pc_physical_exam</v>
      </c>
      <c r="AS10" s="76" t="str">
        <f>"ALTER TABLE "&amp;エンティティ一覧!$O$2&amp;"."&amp;D$8&amp;" OWNER TO pgmisgrp1;"</f>
        <v>ALTER TABLE milscm_2023_009.sny_202310_backup_merge_mml_pc_physical_exam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milscm_2023_009.sny_202310_backup_merge_mml_pc_physical_exam</v>
      </c>
      <c r="O11" s="76"/>
      <c r="P11" s="76"/>
      <c r="Q11" s="76"/>
      <c r="R11" s="76"/>
      <c r="S11" s="76"/>
      <c r="T11" s="76"/>
      <c r="AJ11" s="76" t="str">
        <f>"ADD CONSTRAINT "&amp;D$8&amp;"_pkey PRIMARY KEY"</f>
        <v>ADD CONSTRAINT sny_202310_backup_merge_mml_pc_physical_exam_pkey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milscm_2023_009.sny_202310_backup_merge_mml_pc_physical_exam.facility_id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milscm_2023_009.sny_202310_backup_merge_mml_pc_physical_exam.data_type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milscm_2023_009.sny_202310_backup_merge_mml_pc_physical_exam.master_id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milscm_2023_009.sny_202310_backup_merge_mml_pc_physical_exam.uid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1392</v>
      </c>
      <c r="D22" s="13" t="s">
        <v>1393</v>
      </c>
      <c r="E22" s="7" t="s">
        <v>127</v>
      </c>
      <c r="F22" s="7" t="s">
        <v>204</v>
      </c>
      <c r="G22" s="7" t="str">
        <f t="shared" si="3"/>
        <v>integer</v>
      </c>
      <c r="H22" s="58"/>
      <c r="I22" s="23" t="s">
        <v>127</v>
      </c>
      <c r="J22" s="24" t="s">
        <v>1400</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1394</v>
      </c>
      <c r="D23" s="13" t="s">
        <v>1395</v>
      </c>
      <c r="E23" s="7"/>
      <c r="F23" s="7" t="s">
        <v>865</v>
      </c>
      <c r="G23" s="7" t="str">
        <f t="shared" si="3"/>
        <v>text</v>
      </c>
      <c r="H23" s="58"/>
      <c r="I23" s="23"/>
      <c r="J23" s="24" t="s">
        <v>1401</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1396</v>
      </c>
      <c r="D24" s="13" t="s">
        <v>1397</v>
      </c>
      <c r="E24" s="7"/>
      <c r="F24" s="7" t="s">
        <v>865</v>
      </c>
      <c r="G24" s="7" t="str">
        <f t="shared" si="3"/>
        <v>text</v>
      </c>
      <c r="H24" s="58"/>
      <c r="I24" s="23"/>
      <c r="J24" s="24" t="s">
        <v>1402</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milscm_2023_009.sny_202310_backup_merge_mml_pc_physical_exam.syoken_value IS '身体所見結果';</v>
      </c>
    </row>
    <row r="25" spans="1:52" s="25" customFormat="1" ht="38.25" thickBot="1">
      <c r="A25" s="4"/>
      <c r="B25" s="27">
        <f>ROW()-12</f>
        <v>13</v>
      </c>
      <c r="C25" s="57" t="s">
        <v>1398</v>
      </c>
      <c r="D25" s="57" t="s">
        <v>1399</v>
      </c>
      <c r="E25" s="56"/>
      <c r="F25" s="56" t="s">
        <v>865</v>
      </c>
      <c r="G25" s="56" t="str">
        <f t="shared" si="3"/>
        <v>text</v>
      </c>
      <c r="H25" s="59"/>
      <c r="I25" s="60"/>
      <c r="J25" s="64" t="s">
        <v>1403</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ENT_01_C4-15</v>
      </c>
      <c r="E6" s="240"/>
      <c r="F6" s="240"/>
      <c r="G6" s="240"/>
      <c r="H6" s="240"/>
      <c r="I6" s="240"/>
      <c r="J6" s="241"/>
    </row>
    <row r="7" spans="1:45">
      <c r="B7" s="229" t="s">
        <v>115</v>
      </c>
      <c r="C7" s="230"/>
      <c r="D7" s="231" t="s">
        <v>1405</v>
      </c>
      <c r="E7" s="232"/>
      <c r="F7" s="232"/>
      <c r="G7" s="232"/>
      <c r="H7" s="232"/>
      <c r="I7" s="232"/>
      <c r="J7" s="233"/>
    </row>
    <row r="8" spans="1:45">
      <c r="B8" s="229" t="s">
        <v>116</v>
      </c>
      <c r="C8" s="230"/>
      <c r="D8" s="231" t="str">
        <f>エンティティ一覧!AE2&amp;"_"&amp;D5&amp;"_merge_mml_pc_assessment"</f>
        <v>sny_202310_backup_merge_mml_pc_assessment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milscm_2023_009.sny_202310_backup_merge_mml_pc_assessment;</v>
      </c>
      <c r="O10" s="76"/>
      <c r="P10" s="76"/>
      <c r="Q10" s="76"/>
      <c r="R10" s="76"/>
      <c r="S10" s="76"/>
      <c r="T10" s="76"/>
      <c r="AJ10" s="76" t="str">
        <f>"ALTER TABLE ONLY "&amp;エンティティ一覧!$O$2&amp;"."&amp;D$8</f>
        <v>ALTER TABLE ONLY milscm_2023_009.sny_202310_backup_merge_mml_pc_assessment</v>
      </c>
      <c r="AS10" s="76" t="str">
        <f>"ALTER TABLE "&amp;エンティティ一覧!$O$2&amp;"."&amp;D$8&amp;" OWNER TO pgmisgrp1;"</f>
        <v>ALTER TABLE milscm_2023_009.sny_202310_backup_merge_mml_pc_assessment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milscm_2023_009.sny_202310_backup_merge_mml_pc_assessment</v>
      </c>
      <c r="O11" s="76"/>
      <c r="P11" s="76"/>
      <c r="Q11" s="76"/>
      <c r="R11" s="76"/>
      <c r="S11" s="76"/>
      <c r="T11" s="76"/>
      <c r="AJ11" s="76" t="str">
        <f>"ADD CONSTRAINT "&amp;D$8&amp;"_pkey PRIMARY KEY"</f>
        <v>ADD CONSTRAINT sny_202310_backup_merge_mml_pc_assessment_pkey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milscm_2023_009.sny_202310_backup_merge_mml_pc_assessment.facility_id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milscm_2023_009.sny_202310_backup_merge_mml_pc_assessment.data_type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milscm_2023_009.sny_202310_backup_merge_mml_pc_assessment.master_id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milscm_2023_009.sny_202310_backup_merge_mml_pc_assessment.uid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1406</v>
      </c>
      <c r="D22" s="13" t="s">
        <v>1407</v>
      </c>
      <c r="E22" s="7" t="s">
        <v>127</v>
      </c>
      <c r="F22" s="7" t="s">
        <v>204</v>
      </c>
      <c r="G22" s="7" t="str">
        <f t="shared" si="3"/>
        <v>integer</v>
      </c>
      <c r="H22" s="58"/>
      <c r="I22" s="23" t="s">
        <v>127</v>
      </c>
      <c r="J22" s="24" t="s">
        <v>1410</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milscm_2023_009.sny_202310_backup_merge_mml_pc_assessment.assessment_item_seq IS 'アセスメントSEQ';</v>
      </c>
    </row>
    <row r="23" spans="1:52" s="25" customFormat="1" ht="38.25" thickBot="1">
      <c r="A23" s="4"/>
      <c r="B23" s="27">
        <f>ROW()-12</f>
        <v>11</v>
      </c>
      <c r="C23" s="57" t="s">
        <v>1408</v>
      </c>
      <c r="D23" s="57" t="s">
        <v>1409</v>
      </c>
      <c r="E23" s="56"/>
      <c r="F23" s="56" t="s">
        <v>865</v>
      </c>
      <c r="G23" s="56" t="str">
        <f t="shared" si="3"/>
        <v>text</v>
      </c>
      <c r="H23" s="59"/>
      <c r="I23" s="60"/>
      <c r="J23" s="64" t="s">
        <v>1411</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ENT_01_C4-22</v>
      </c>
      <c r="E6" s="240"/>
      <c r="F6" s="240"/>
      <c r="G6" s="240"/>
      <c r="H6" s="240"/>
      <c r="I6" s="240"/>
      <c r="J6" s="241"/>
    </row>
    <row r="7" spans="1:45">
      <c r="B7" s="229" t="s">
        <v>115</v>
      </c>
      <c r="C7" s="230"/>
      <c r="D7" s="231" t="s">
        <v>1413</v>
      </c>
      <c r="E7" s="232"/>
      <c r="F7" s="232"/>
      <c r="G7" s="232"/>
      <c r="H7" s="232"/>
      <c r="I7" s="232"/>
      <c r="J7" s="233"/>
    </row>
    <row r="8" spans="1:45">
      <c r="B8" s="229" t="s">
        <v>116</v>
      </c>
      <c r="C8" s="230"/>
      <c r="D8" s="231" t="str">
        <f>エンティティ一覧!AE2&amp;"_"&amp;D5&amp;"_merge_mml_pc_external_reference"</f>
        <v>sny_202310_backup_merge_mml_pc_external_reference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milscm_2023_009.sny_202310_backup_merge_mml_pc_external_reference;</v>
      </c>
      <c r="O10" s="76"/>
      <c r="P10" s="76"/>
      <c r="Q10" s="76"/>
      <c r="R10" s="76"/>
      <c r="S10" s="76"/>
      <c r="T10" s="76"/>
      <c r="AJ10" s="76" t="str">
        <f>"ALTER TABLE ONLY "&amp;エンティティ一覧!$O$2&amp;"."&amp;D$8</f>
        <v>ALTER TABLE ONLY milscm_2023_009.sny_202310_backup_merge_mml_pc_external_reference</v>
      </c>
      <c r="AS10" s="76" t="str">
        <f>"ALTER TABLE "&amp;エンティティ一覧!$O$2&amp;"."&amp;D$8&amp;" OWNER TO pgmisgrp1;"</f>
        <v>ALTER TABLE milscm_2023_009.sny_202310_backup_merge_mml_pc_external_reference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milscm_2023_009.sny_202310_backup_merge_mml_pc_external_reference</v>
      </c>
      <c r="O11" s="76"/>
      <c r="P11" s="76"/>
      <c r="Q11" s="76"/>
      <c r="R11" s="76"/>
      <c r="S11" s="76"/>
      <c r="T11" s="76"/>
      <c r="AJ11" s="76" t="str">
        <f>"ADD CONSTRAINT "&amp;D$8&amp;"_pkey PRIMARY KEY"</f>
        <v>ADD CONSTRAINT sny_202310_backup_merge_mml_pc_external_reference_pkey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1284</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milscm_2023_009.sny_202310_backup_merge_mml_pc_external_reference.facility_id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milscm_2023_009.sny_202310_backup_merge_mml_pc_external_reference.data_type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milscm_2023_009.sny_202310_backup_merge_mml_pc_external_reference.master_id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milscm_2023_009.sny_202310_backup_merge_mml_pc_external_reference.uid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milscm_2023_009.sny_202310_backup_merge_mml_pc_external_reference.keika_seq IS '経過記録SEQ';</v>
      </c>
    </row>
    <row r="21" spans="1:52" s="25" customFormat="1" ht="187.5">
      <c r="A21" s="4"/>
      <c r="B21" s="21">
        <f t="shared" si="2"/>
        <v>9</v>
      </c>
      <c r="C21" s="13" t="s">
        <v>1414</v>
      </c>
      <c r="D21" s="13" t="s">
        <v>1415</v>
      </c>
      <c r="E21" s="7" t="s">
        <v>127</v>
      </c>
      <c r="F21" s="7" t="s">
        <v>865</v>
      </c>
      <c r="G21" s="7" t="str">
        <f t="shared" si="3"/>
        <v>text</v>
      </c>
      <c r="H21" s="58"/>
      <c r="I21" s="23" t="s">
        <v>127</v>
      </c>
      <c r="J21" s="24" t="s">
        <v>1428</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1416</v>
      </c>
      <c r="D22" s="13" t="s">
        <v>1417</v>
      </c>
      <c r="E22" s="7" t="s">
        <v>127</v>
      </c>
      <c r="F22" s="7" t="s">
        <v>204</v>
      </c>
      <c r="G22" s="7" t="str">
        <f t="shared" si="3"/>
        <v>integer</v>
      </c>
      <c r="H22" s="58"/>
      <c r="I22" s="23" t="s">
        <v>127</v>
      </c>
      <c r="J22" s="24" t="s">
        <v>1429</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1418</v>
      </c>
      <c r="D23" s="13" t="s">
        <v>1419</v>
      </c>
      <c r="E23" s="7"/>
      <c r="F23" s="7" t="s">
        <v>865</v>
      </c>
      <c r="G23" s="7" t="str">
        <f t="shared" si="3"/>
        <v>text</v>
      </c>
      <c r="H23" s="58"/>
      <c r="I23" s="23"/>
      <c r="J23" s="24" t="s">
        <v>1430</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milscm_2023_009.sny_202310_backup_merge_mml_pc_external_reference.content_type IS 'コンテンツ種別';</v>
      </c>
    </row>
    <row r="24" spans="1:52" s="25" customFormat="1" ht="37.5">
      <c r="A24" s="4"/>
      <c r="B24" s="21">
        <f t="shared" si="2"/>
        <v>12</v>
      </c>
      <c r="C24" s="13" t="s">
        <v>1420</v>
      </c>
      <c r="D24" s="13" t="s">
        <v>1421</v>
      </c>
      <c r="E24" s="7"/>
      <c r="F24" s="7" t="s">
        <v>865</v>
      </c>
      <c r="G24" s="7" t="str">
        <f t="shared" si="3"/>
        <v>text</v>
      </c>
      <c r="H24" s="58"/>
      <c r="I24" s="23"/>
      <c r="J24" s="24" t="s">
        <v>1431</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1422</v>
      </c>
      <c r="D25" s="13" t="s">
        <v>1423</v>
      </c>
      <c r="E25" s="7"/>
      <c r="F25" s="7" t="s">
        <v>865</v>
      </c>
      <c r="G25" s="7" t="str">
        <f t="shared" si="3"/>
        <v>text</v>
      </c>
      <c r="H25" s="58"/>
      <c r="I25" s="23"/>
      <c r="J25" s="24" t="s">
        <v>1432</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1424</v>
      </c>
      <c r="D26" s="13" t="s">
        <v>1425</v>
      </c>
      <c r="E26" s="7"/>
      <c r="F26" s="7" t="s">
        <v>865</v>
      </c>
      <c r="G26" s="7" t="str">
        <f t="shared" si="3"/>
        <v>text</v>
      </c>
      <c r="H26" s="58"/>
      <c r="I26" s="23"/>
      <c r="J26" s="24" t="s">
        <v>1433</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milscm_2023_009.sny_202310_backup_merge_mml_pc_external_reference.gaibu_sansyo_saki IS '外部参照先';</v>
      </c>
    </row>
    <row r="27" spans="1:52" s="25" customFormat="1" ht="19.5" thickBot="1">
      <c r="A27" s="4"/>
      <c r="B27" s="27">
        <f>ROW()-12</f>
        <v>15</v>
      </c>
      <c r="C27" s="57" t="s">
        <v>1426</v>
      </c>
      <c r="D27" s="57" t="s">
        <v>1427</v>
      </c>
      <c r="E27" s="56"/>
      <c r="F27" s="56" t="s">
        <v>865</v>
      </c>
      <c r="G27" s="56" t="str">
        <f t="shared" si="3"/>
        <v>text</v>
      </c>
      <c r="H27" s="59"/>
      <c r="I27" s="60"/>
      <c r="J27" s="64" t="s">
        <v>1434</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ENT_01_C4-23</v>
      </c>
      <c r="E6" s="240"/>
      <c r="F6" s="240"/>
      <c r="G6" s="240"/>
      <c r="H6" s="240"/>
      <c r="I6" s="240"/>
      <c r="J6" s="241"/>
    </row>
    <row r="7" spans="1:45">
      <c r="B7" s="229" t="s">
        <v>115</v>
      </c>
      <c r="C7" s="230"/>
      <c r="D7" s="231" t="s">
        <v>1436</v>
      </c>
      <c r="E7" s="232"/>
      <c r="F7" s="232"/>
      <c r="G7" s="232"/>
      <c r="H7" s="232"/>
      <c r="I7" s="232"/>
      <c r="J7" s="233"/>
    </row>
    <row r="8" spans="1:45">
      <c r="B8" s="229" t="s">
        <v>116</v>
      </c>
      <c r="C8" s="230"/>
      <c r="D8" s="231" t="str">
        <f>エンティティ一覧!AE2&amp;"_"&amp;D5&amp;"_merge_mml_sm_summary"</f>
        <v>sny_202310_backup_merge_mml_sm_summary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milscm_2023_009.sny_202310_backup_merge_mml_sm_summary;</v>
      </c>
      <c r="O10" s="76"/>
      <c r="P10" s="76"/>
      <c r="Q10" s="76"/>
      <c r="R10" s="76"/>
      <c r="S10" s="76"/>
      <c r="T10" s="76"/>
      <c r="AJ10" s="76" t="str">
        <f>"ALTER TABLE ONLY "&amp;エンティティ一覧!$O$2&amp;"."&amp;D$8</f>
        <v>ALTER TABLE ONLY milscm_2023_009.sny_202310_backup_merge_mml_sm_summary</v>
      </c>
      <c r="AS10" s="76" t="str">
        <f>"ALTER TABLE "&amp;エンティティ一覧!$O$2&amp;"."&amp;D$8&amp;" OWNER TO pgmisgrp1;"</f>
        <v>ALTER TABLE milscm_2023_009.sny_202310_backup_merge_mml_sm_summary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milscm_2023_009.sny_202310_backup_merge_mml_sm_summary</v>
      </c>
      <c r="O11" s="76"/>
      <c r="P11" s="76"/>
      <c r="Q11" s="76"/>
      <c r="R11" s="76"/>
      <c r="S11" s="76"/>
      <c r="T11" s="76"/>
      <c r="AJ11" s="76" t="str">
        <f>"ADD CONSTRAINT "&amp;D$8&amp;"_pkey PRIMARY KEY"</f>
        <v>ADD CONSTRAINT sny_202310_backup_merge_mml_sm_summary_pkey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milscm_2023_009.sny_202310_backup_merge_mml_sm_summary.facility_id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milscm_2023_009.sny_202310_backup_merge_mml_sm_summary.data_type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milscm_2023_009.sny_202310_backup_merge_mml_sm_summary.master_id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milscm_2023_009.sny_202310_backup_merge_mml_sm_summary.summary_seq IS '臨床サマリーSEQ';</v>
      </c>
    </row>
    <row r="21" spans="1:45" s="25" customFormat="1" ht="37.5">
      <c r="A21" s="4"/>
      <c r="B21" s="21">
        <f t="shared" si="2"/>
        <v>9</v>
      </c>
      <c r="C21" s="13" t="s">
        <v>1439</v>
      </c>
      <c r="D21" s="13" t="s">
        <v>1440</v>
      </c>
      <c r="E21" s="7"/>
      <c r="F21" s="7" t="s">
        <v>865</v>
      </c>
      <c r="G21" s="7" t="str">
        <f t="shared" si="3"/>
        <v>text</v>
      </c>
      <c r="H21" s="58"/>
      <c r="I21" s="23"/>
      <c r="J21" s="24" t="s">
        <v>1464</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milscm_2023_009.sny_202310_backup_merge_mml_sm_summary.history_start_ymd IS 'サマリー対象期間の開始日';</v>
      </c>
    </row>
    <row r="22" spans="1:45" s="25" customFormat="1" ht="37.5">
      <c r="A22" s="4"/>
      <c r="B22" s="21">
        <f t="shared" si="2"/>
        <v>10</v>
      </c>
      <c r="C22" s="13" t="s">
        <v>1441</v>
      </c>
      <c r="D22" s="13" t="s">
        <v>1442</v>
      </c>
      <c r="E22" s="7"/>
      <c r="F22" s="7" t="s">
        <v>865</v>
      </c>
      <c r="G22" s="7" t="str">
        <f t="shared" si="3"/>
        <v>text</v>
      </c>
      <c r="H22" s="58"/>
      <c r="I22" s="23"/>
      <c r="J22" s="24" t="s">
        <v>1465</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1443</v>
      </c>
      <c r="D23" s="13" t="s">
        <v>1444</v>
      </c>
      <c r="E23" s="7"/>
      <c r="F23" s="7" t="s">
        <v>865</v>
      </c>
      <c r="G23" s="7" t="str">
        <f t="shared" si="3"/>
        <v>text</v>
      </c>
      <c r="H23" s="58"/>
      <c r="I23" s="23"/>
      <c r="J23" s="24" t="s">
        <v>1466</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milscm_2023_009.sny_202310_backup_merge_mml_sm_summary.death_info IS '死亡関連情報';</v>
      </c>
    </row>
    <row r="24" spans="1:45" s="25" customFormat="1" ht="37.5">
      <c r="A24" s="4"/>
      <c r="B24" s="21">
        <f t="shared" si="2"/>
        <v>12</v>
      </c>
      <c r="C24" s="13" t="s">
        <v>1282</v>
      </c>
      <c r="D24" s="13" t="s">
        <v>1283</v>
      </c>
      <c r="E24" s="7"/>
      <c r="F24" s="7" t="s">
        <v>865</v>
      </c>
      <c r="G24" s="7" t="str">
        <f t="shared" si="3"/>
        <v>text</v>
      </c>
      <c r="H24" s="58"/>
      <c r="I24" s="23"/>
      <c r="J24" s="24" t="s">
        <v>1467</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milscm_2023_009.sny_202310_backup_merge_mml_sm_summary.death_date IS '死亡日時';</v>
      </c>
    </row>
    <row r="25" spans="1:45" s="25" customFormat="1" ht="37.5">
      <c r="A25" s="4"/>
      <c r="B25" s="21">
        <f t="shared" si="2"/>
        <v>13</v>
      </c>
      <c r="C25" s="13" t="s">
        <v>1445</v>
      </c>
      <c r="D25" s="13" t="s">
        <v>1446</v>
      </c>
      <c r="E25" s="7"/>
      <c r="F25" s="7" t="s">
        <v>865</v>
      </c>
      <c r="G25" s="7" t="str">
        <f t="shared" si="3"/>
        <v>text</v>
      </c>
      <c r="H25" s="58"/>
      <c r="I25" s="23"/>
      <c r="J25" s="24" t="s">
        <v>1468</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milscm_2023_009.sny_202310_backup_merge_mml_sm_summary.death_autopsy_flag IS '剖検の有無';</v>
      </c>
    </row>
    <row r="26" spans="1:45" s="25" customFormat="1" ht="37.5">
      <c r="A26" s="4"/>
      <c r="B26" s="21">
        <f t="shared" si="2"/>
        <v>14</v>
      </c>
      <c r="C26" s="13" t="s">
        <v>1447</v>
      </c>
      <c r="D26" s="13" t="s">
        <v>1448</v>
      </c>
      <c r="E26" s="7"/>
      <c r="F26" s="7" t="s">
        <v>865</v>
      </c>
      <c r="G26" s="7" t="str">
        <f t="shared" si="3"/>
        <v>text</v>
      </c>
      <c r="H26" s="58"/>
      <c r="I26" s="23"/>
      <c r="J26" s="24" t="s">
        <v>1469</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milscm_2023_009.sny_202310_backup_merge_mml_sm_summary.chief_complaints IS '主訴';</v>
      </c>
    </row>
    <row r="27" spans="1:45" s="25" customFormat="1" ht="37.5">
      <c r="A27" s="4"/>
      <c r="B27" s="21">
        <f t="shared" si="2"/>
        <v>15</v>
      </c>
      <c r="C27" s="13" t="s">
        <v>1449</v>
      </c>
      <c r="D27" s="13" t="s">
        <v>1450</v>
      </c>
      <c r="E27" s="7"/>
      <c r="F27" s="7" t="s">
        <v>865</v>
      </c>
      <c r="G27" s="7" t="str">
        <f t="shared" si="3"/>
        <v>text</v>
      </c>
      <c r="H27" s="58"/>
      <c r="I27" s="23"/>
      <c r="J27" s="24" t="s">
        <v>1470</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milscm_2023_009.sny_202310_backup_merge_mml_sm_summary.patient_profile IS '患者プロフィール';</v>
      </c>
    </row>
    <row r="28" spans="1:45" s="25" customFormat="1" ht="37.5">
      <c r="A28" s="4"/>
      <c r="B28" s="21">
        <f t="shared" si="2"/>
        <v>16</v>
      </c>
      <c r="C28" s="13" t="s">
        <v>1451</v>
      </c>
      <c r="D28" s="13" t="s">
        <v>1452</v>
      </c>
      <c r="E28" s="7"/>
      <c r="F28" s="7" t="s">
        <v>865</v>
      </c>
      <c r="G28" s="7" t="str">
        <f t="shared" si="3"/>
        <v>text</v>
      </c>
      <c r="H28" s="58"/>
      <c r="I28" s="23"/>
      <c r="J28" s="24" t="s">
        <v>1471</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milscm_2023_009.sny_202310_backup_merge_mml_sm_summary.nyuin_history IS '入院までの経過';</v>
      </c>
    </row>
    <row r="29" spans="1:45" s="25" customFormat="1" ht="37.5">
      <c r="A29" s="4"/>
      <c r="B29" s="21">
        <f t="shared" si="2"/>
        <v>17</v>
      </c>
      <c r="C29" s="13" t="s">
        <v>1453</v>
      </c>
      <c r="D29" s="13" t="s">
        <v>1454</v>
      </c>
      <c r="E29" s="7"/>
      <c r="F29" s="7" t="s">
        <v>865</v>
      </c>
      <c r="G29" s="7" t="str">
        <f t="shared" si="3"/>
        <v>text</v>
      </c>
      <c r="H29" s="58"/>
      <c r="I29" s="23"/>
      <c r="J29" s="24" t="s">
        <v>1472</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milscm_2023_009.sny_202310_backup_merge_mml_sm_summary.nyuin_physical_exam IS '入院時理学所見';</v>
      </c>
    </row>
    <row r="30" spans="1:45" s="25" customFormat="1" ht="37.5">
      <c r="A30" s="4"/>
      <c r="B30" s="21">
        <f t="shared" si="2"/>
        <v>18</v>
      </c>
      <c r="C30" s="13" t="s">
        <v>1455</v>
      </c>
      <c r="D30" s="13" t="s">
        <v>1456</v>
      </c>
      <c r="E30" s="7"/>
      <c r="F30" s="7" t="s">
        <v>865</v>
      </c>
      <c r="G30" s="7" t="str">
        <f t="shared" si="3"/>
        <v>text</v>
      </c>
      <c r="H30" s="58"/>
      <c r="I30" s="23"/>
      <c r="J30" s="24" t="s">
        <v>1473</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milscm_2023_009.sny_202310_backup_merge_mml_sm_summary.taiin_findings IS '退院時所見';</v>
      </c>
    </row>
    <row r="31" spans="1:45" s="25" customFormat="1" ht="37.5">
      <c r="A31" s="4"/>
      <c r="B31" s="21">
        <f t="shared" si="2"/>
        <v>19</v>
      </c>
      <c r="C31" s="13" t="s">
        <v>1457</v>
      </c>
      <c r="D31" s="13" t="s">
        <v>1458</v>
      </c>
      <c r="E31" s="7"/>
      <c r="F31" s="7" t="s">
        <v>865</v>
      </c>
      <c r="G31" s="7" t="str">
        <f t="shared" si="3"/>
        <v>text</v>
      </c>
      <c r="H31" s="58"/>
      <c r="I31" s="23"/>
      <c r="J31" s="24" t="s">
        <v>1474</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milscm_2023_009.sny_202310_backup_merge_mml_sm_summary.taiin_medication IS '退院時処方';</v>
      </c>
    </row>
    <row r="32" spans="1:45" s="25" customFormat="1" ht="37.5">
      <c r="A32" s="4"/>
      <c r="B32" s="21">
        <f t="shared" si="2"/>
        <v>20</v>
      </c>
      <c r="C32" s="13" t="s">
        <v>1459</v>
      </c>
      <c r="D32" s="13" t="s">
        <v>1460</v>
      </c>
      <c r="E32" s="7"/>
      <c r="F32" s="7" t="s">
        <v>865</v>
      </c>
      <c r="G32" s="7" t="str">
        <f t="shared" si="3"/>
        <v>text</v>
      </c>
      <c r="H32" s="58"/>
      <c r="I32" s="23"/>
      <c r="J32" s="24" t="s">
        <v>1475</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milscm_2023_009.sny_202310_backup_merge_mml_sm_summary.taiin_chiryo_plan IS '退院後治療方針';</v>
      </c>
    </row>
    <row r="33" spans="1:52" s="25" customFormat="1" ht="38.25" thickBot="1">
      <c r="A33" s="4"/>
      <c r="B33" s="27">
        <f>ROW()-12</f>
        <v>21</v>
      </c>
      <c r="C33" s="57" t="s">
        <v>1461</v>
      </c>
      <c r="D33" s="57" t="s">
        <v>1462</v>
      </c>
      <c r="E33" s="56"/>
      <c r="F33" s="56" t="s">
        <v>865</v>
      </c>
      <c r="G33" s="56" t="str">
        <f t="shared" si="3"/>
        <v>text</v>
      </c>
      <c r="H33" s="59"/>
      <c r="I33" s="60"/>
      <c r="J33" s="64" t="s">
        <v>1476</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ENT_01_C4-24</v>
      </c>
      <c r="E6" s="240"/>
      <c r="F6" s="240"/>
      <c r="G6" s="240"/>
      <c r="H6" s="240"/>
      <c r="I6" s="240"/>
      <c r="J6" s="241"/>
    </row>
    <row r="7" spans="1:45">
      <c r="B7" s="229" t="s">
        <v>115</v>
      </c>
      <c r="C7" s="230"/>
      <c r="D7" s="231" t="s">
        <v>1478</v>
      </c>
      <c r="E7" s="232"/>
      <c r="F7" s="232"/>
      <c r="G7" s="232"/>
      <c r="H7" s="232"/>
      <c r="I7" s="232"/>
      <c r="J7" s="233"/>
    </row>
    <row r="8" spans="1:45">
      <c r="B8" s="229" t="s">
        <v>116</v>
      </c>
      <c r="C8" s="230"/>
      <c r="D8" s="231" t="str">
        <f>エンティティ一覧!AE2&amp;"_"&amp;D5&amp;"_merge_mml_sm_out_patient"</f>
        <v>sny_202310_backup_merge_mml_sm_out_patient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milscm_2023_009.sny_202310_backup_merge_mml_sm_out_patient;</v>
      </c>
      <c r="O10" s="76"/>
      <c r="P10" s="76"/>
      <c r="Q10" s="76"/>
      <c r="R10" s="76"/>
      <c r="S10" s="76"/>
      <c r="T10" s="76"/>
      <c r="AJ10" s="76" t="str">
        <f>"ALTER TABLE ONLY "&amp;エンティティ一覧!$O$2&amp;"."&amp;D$8</f>
        <v>ALTER TABLE ONLY milscm_2023_009.sny_202310_backup_merge_mml_sm_out_patient</v>
      </c>
      <c r="AS10" s="76" t="str">
        <f>"ALTER TABLE "&amp;エンティティ一覧!$O$2&amp;"."&amp;D$8&amp;" OWNER TO pgmisgrp1;"</f>
        <v>ALTER TABLE milscm_2023_009.sny_202310_backup_merge_mml_sm_out_patient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milscm_2023_009.sny_202310_backup_merge_mml_sm_out_patient</v>
      </c>
      <c r="O11" s="76"/>
      <c r="P11" s="76"/>
      <c r="Q11" s="76"/>
      <c r="R11" s="76"/>
      <c r="S11" s="76"/>
      <c r="T11" s="76"/>
      <c r="AJ11" s="76" t="str">
        <f>"ADD CONSTRAINT "&amp;D$8&amp;"_pkey PRIMARY KEY"</f>
        <v>ADD CONSTRAINT sny_202310_backup_merge_mml_sm_out_patient_pkey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milscm_2023_009.sny_202310_backup_merge_mml_sm_out_patient.facility_id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milscm_2023_009.sny_202310_backup_merge_mml_sm_out_patient.data_type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milscm_2023_009.sny_202310_backup_merge_mml_sm_out_patient.master_id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1479</v>
      </c>
      <c r="D21" s="13" t="s">
        <v>1480</v>
      </c>
      <c r="E21" s="7" t="s">
        <v>127</v>
      </c>
      <c r="F21" s="7" t="s">
        <v>204</v>
      </c>
      <c r="G21" s="7" t="str">
        <f t="shared" si="3"/>
        <v>integer</v>
      </c>
      <c r="H21" s="58"/>
      <c r="I21" s="23" t="s">
        <v>127</v>
      </c>
      <c r="J21" s="24" t="s">
        <v>1489</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milscm_2023_009.sny_202310_backup_merge_mml_sm_out_patient.gairai_seq IS '個々の外来受診歴SEQ';</v>
      </c>
    </row>
    <row r="22" spans="1:52" s="25" customFormat="1" ht="37.5">
      <c r="A22" s="4"/>
      <c r="B22" s="21">
        <f t="shared" si="2"/>
        <v>10</v>
      </c>
      <c r="C22" s="13" t="s">
        <v>1481</v>
      </c>
      <c r="D22" s="13" t="s">
        <v>1482</v>
      </c>
      <c r="E22" s="7"/>
      <c r="F22" s="7" t="s">
        <v>865</v>
      </c>
      <c r="G22" s="7" t="str">
        <f t="shared" si="3"/>
        <v>text</v>
      </c>
      <c r="H22" s="58"/>
      <c r="I22" s="23"/>
      <c r="J22" s="24" t="s">
        <v>1490</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1483</v>
      </c>
      <c r="D23" s="13" t="s">
        <v>1484</v>
      </c>
      <c r="E23" s="7"/>
      <c r="F23" s="7" t="s">
        <v>865</v>
      </c>
      <c r="G23" s="7" t="str">
        <f t="shared" si="3"/>
        <v>text</v>
      </c>
      <c r="H23" s="58"/>
      <c r="I23" s="23"/>
      <c r="J23" s="24" t="s">
        <v>1491</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milscm_2023_009.sny_202310_backup_merge_mml_sm_out_patient.gairai_state IS '外来受診状態';</v>
      </c>
    </row>
    <row r="24" spans="1:52" s="25" customFormat="1" ht="37.5">
      <c r="A24" s="4"/>
      <c r="B24" s="21">
        <f t="shared" si="2"/>
        <v>12</v>
      </c>
      <c r="C24" s="13" t="s">
        <v>1485</v>
      </c>
      <c r="D24" s="13" t="s">
        <v>1486</v>
      </c>
      <c r="E24" s="7"/>
      <c r="F24" s="7" t="s">
        <v>865</v>
      </c>
      <c r="G24" s="7" t="str">
        <f t="shared" si="3"/>
        <v>text</v>
      </c>
      <c r="H24" s="58"/>
      <c r="I24" s="23"/>
      <c r="J24" s="24" t="s">
        <v>1492</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milscm_2023_009.sny_202310_backup_merge_mml_sm_out_patient.first_flag IS '初診フラグ';</v>
      </c>
    </row>
    <row r="25" spans="1:52" s="25" customFormat="1" ht="57" thickBot="1">
      <c r="A25" s="4"/>
      <c r="B25" s="27">
        <f>ROW()-12</f>
        <v>13</v>
      </c>
      <c r="C25" s="57" t="s">
        <v>1487</v>
      </c>
      <c r="D25" s="57" t="s">
        <v>1488</v>
      </c>
      <c r="E25" s="56"/>
      <c r="F25" s="56" t="s">
        <v>865</v>
      </c>
      <c r="G25" s="56" t="str">
        <f t="shared" si="3"/>
        <v>text</v>
      </c>
      <c r="H25" s="59"/>
      <c r="I25" s="60"/>
      <c r="J25" s="64" t="s">
        <v>1493</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ENT_01_C4-25</v>
      </c>
      <c r="E6" s="240"/>
      <c r="F6" s="240"/>
      <c r="G6" s="240"/>
      <c r="H6" s="240"/>
      <c r="I6" s="240"/>
      <c r="J6" s="241"/>
    </row>
    <row r="7" spans="1:45">
      <c r="B7" s="229" t="s">
        <v>115</v>
      </c>
      <c r="C7" s="230"/>
      <c r="D7" s="231" t="s">
        <v>1495</v>
      </c>
      <c r="E7" s="232"/>
      <c r="F7" s="232"/>
      <c r="G7" s="232"/>
      <c r="H7" s="232"/>
      <c r="I7" s="232"/>
      <c r="J7" s="233"/>
    </row>
    <row r="8" spans="1:45">
      <c r="B8" s="229" t="s">
        <v>116</v>
      </c>
      <c r="C8" s="230"/>
      <c r="D8" s="231" t="str">
        <f>エンティティ一覧!AE2&amp;"_"&amp;D5&amp;"_merge_mml_sm_in_patient"</f>
        <v>sny_202310_backup_merge_mml_sm_in_patient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milscm_2023_009.sny_202310_backup_merge_mml_sm_in_patient;</v>
      </c>
      <c r="O10" s="76"/>
      <c r="P10" s="76"/>
      <c r="Q10" s="76"/>
      <c r="R10" s="76"/>
      <c r="S10" s="76"/>
      <c r="T10" s="76"/>
      <c r="AJ10" s="76" t="str">
        <f>"ALTER TABLE ONLY "&amp;エンティティ一覧!$O$2&amp;"."&amp;D$8</f>
        <v>ALTER TABLE ONLY milscm_2023_009.sny_202310_backup_merge_mml_sm_in_patient</v>
      </c>
      <c r="AS10" s="76" t="str">
        <f>"ALTER TABLE "&amp;エンティティ一覧!$O$2&amp;"."&amp;D$8&amp;" OWNER TO pgmisgrp1;"</f>
        <v>ALTER TABLE milscm_2023_009.sny_202310_backup_merge_mml_sm_in_patient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milscm_2023_009.sny_202310_backup_merge_mml_sm_in_patient</v>
      </c>
      <c r="O11" s="76"/>
      <c r="P11" s="76"/>
      <c r="Q11" s="76"/>
      <c r="R11" s="76"/>
      <c r="S11" s="76"/>
      <c r="T11" s="76"/>
      <c r="AJ11" s="76" t="str">
        <f>"ADD CONSTRAINT "&amp;D$8&amp;"_pkey PRIMARY KEY"</f>
        <v>ADD CONSTRAINT sny_202310_backup_merge_mml_sm_in_patient_pkey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1284</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milscm_2023_009.sny_202310_backup_merge_mml_sm_in_patient.facility_id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milscm_2023_009.sny_202310_backup_merge_mml_sm_in_patient.data_type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milscm_2023_009.sny_202310_backup_merge_mml_sm_in_patient.master_id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1496</v>
      </c>
      <c r="D21" s="13" t="s">
        <v>1497</v>
      </c>
      <c r="E21" s="7" t="s">
        <v>127</v>
      </c>
      <c r="F21" s="7" t="s">
        <v>204</v>
      </c>
      <c r="G21" s="7" t="str">
        <f t="shared" si="3"/>
        <v>integer</v>
      </c>
      <c r="H21" s="58"/>
      <c r="I21" s="23" t="s">
        <v>127</v>
      </c>
      <c r="J21" s="24" t="s">
        <v>1511</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milscm_2023_009.sny_202310_backup_merge_mml_sm_in_patient.nyuin_seq IS '個々の入院歴SEQ';</v>
      </c>
    </row>
    <row r="22" spans="1:52" s="25" customFormat="1" ht="37.5">
      <c r="A22" s="4"/>
      <c r="B22" s="21">
        <f t="shared" si="2"/>
        <v>10</v>
      </c>
      <c r="C22" s="13" t="s">
        <v>1498</v>
      </c>
      <c r="D22" s="13" t="s">
        <v>156</v>
      </c>
      <c r="E22" s="7"/>
      <c r="F22" s="7" t="s">
        <v>865</v>
      </c>
      <c r="G22" s="7" t="str">
        <f t="shared" si="3"/>
        <v>text</v>
      </c>
      <c r="H22" s="58"/>
      <c r="I22" s="23"/>
      <c r="J22" s="24" t="s">
        <v>1512</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milscm_2023_009.sny_202310_backup_merge_mml_sm_in_patient.nyuin_ymd IS '入院（転入）日';</v>
      </c>
    </row>
    <row r="23" spans="1:52" s="25" customFormat="1" ht="37.5">
      <c r="A23" s="4"/>
      <c r="B23" s="21">
        <f t="shared" si="2"/>
        <v>11</v>
      </c>
      <c r="C23" s="13" t="s">
        <v>1499</v>
      </c>
      <c r="D23" s="13" t="s">
        <v>1500</v>
      </c>
      <c r="E23" s="7"/>
      <c r="F23" s="7" t="s">
        <v>865</v>
      </c>
      <c r="G23" s="7" t="str">
        <f t="shared" si="3"/>
        <v>text</v>
      </c>
      <c r="H23" s="58"/>
      <c r="I23" s="23"/>
      <c r="J23" s="24" t="s">
        <v>1513</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milscm_2023_009.sny_202310_backup_merge_mml_sm_in_patient.nyuin_state IS '入院時状態';</v>
      </c>
    </row>
    <row r="24" spans="1:52" s="25" customFormat="1" ht="56.25">
      <c r="A24" s="4"/>
      <c r="B24" s="21">
        <f t="shared" si="2"/>
        <v>12</v>
      </c>
      <c r="C24" s="13" t="s">
        <v>1501</v>
      </c>
      <c r="D24" s="13" t="s">
        <v>1502</v>
      </c>
      <c r="E24" s="7"/>
      <c r="F24" s="7" t="s">
        <v>865</v>
      </c>
      <c r="G24" s="7" t="str">
        <f t="shared" si="3"/>
        <v>text</v>
      </c>
      <c r="H24" s="58"/>
      <c r="I24" s="23"/>
      <c r="J24" s="24" t="s">
        <v>1514</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milscm_2023_009.sny_202310_backup_merge_mml_sm_in_patient.emergency_nyuin_flag IS '緊急入院フラグ';</v>
      </c>
    </row>
    <row r="25" spans="1:52" s="25" customFormat="1" ht="93.75">
      <c r="A25" s="4"/>
      <c r="B25" s="21">
        <f t="shared" si="2"/>
        <v>13</v>
      </c>
      <c r="C25" s="13" t="s">
        <v>1503</v>
      </c>
      <c r="D25" s="13" t="s">
        <v>1504</v>
      </c>
      <c r="E25" s="7"/>
      <c r="F25" s="7" t="s">
        <v>865</v>
      </c>
      <c r="G25" s="7" t="str">
        <f t="shared" si="3"/>
        <v>text</v>
      </c>
      <c r="H25" s="58"/>
      <c r="I25" s="23"/>
      <c r="J25" s="24" t="s">
        <v>1519</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milscm_2023_009.sny_202310_backup_merge_mml_sm_in_patient.shokai_moto_facility IS '紹介元施設';</v>
      </c>
    </row>
    <row r="26" spans="1:52" s="25" customFormat="1" ht="37.5">
      <c r="A26" s="4"/>
      <c r="B26" s="21">
        <f t="shared" si="2"/>
        <v>14</v>
      </c>
      <c r="C26" s="13" t="s">
        <v>1505</v>
      </c>
      <c r="D26" s="13" t="s">
        <v>212</v>
      </c>
      <c r="E26" s="7"/>
      <c r="F26" s="7" t="s">
        <v>865</v>
      </c>
      <c r="G26" s="7" t="str">
        <f t="shared" si="3"/>
        <v>text</v>
      </c>
      <c r="H26" s="58"/>
      <c r="I26" s="23"/>
      <c r="J26" s="24" t="s">
        <v>1515</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milscm_2023_009.sny_202310_backup_merge_mml_sm_in_patient.taiin_ymd IS '退院（転出）日';</v>
      </c>
    </row>
    <row r="27" spans="1:52" s="25" customFormat="1" ht="37.5">
      <c r="A27" s="4"/>
      <c r="B27" s="21">
        <f t="shared" si="2"/>
        <v>15</v>
      </c>
      <c r="C27" s="13" t="s">
        <v>1506</v>
      </c>
      <c r="D27" s="13" t="s">
        <v>1507</v>
      </c>
      <c r="E27" s="7"/>
      <c r="F27" s="7" t="s">
        <v>865</v>
      </c>
      <c r="G27" s="7" t="str">
        <f t="shared" si="3"/>
        <v>text</v>
      </c>
      <c r="H27" s="58"/>
      <c r="I27" s="23"/>
      <c r="J27" s="24" t="s">
        <v>1516</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milscm_2023_009.sny_202310_backup_merge_mml_sm_in_patient.taiin_state IS '退院時状態';</v>
      </c>
    </row>
    <row r="28" spans="1:52" s="25" customFormat="1" ht="56.25">
      <c r="A28" s="4"/>
      <c r="B28" s="21">
        <f t="shared" si="2"/>
        <v>16</v>
      </c>
      <c r="C28" s="13" t="s">
        <v>593</v>
      </c>
      <c r="D28" s="13" t="s">
        <v>1508</v>
      </c>
      <c r="E28" s="7"/>
      <c r="F28" s="7" t="s">
        <v>865</v>
      </c>
      <c r="G28" s="7" t="str">
        <f t="shared" si="3"/>
        <v>text</v>
      </c>
      <c r="H28" s="58"/>
      <c r="I28" s="23"/>
      <c r="J28" s="24" t="s">
        <v>1517</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milscm_2023_009.sny_202310_backup_merge_mml_sm_in_patient.taiin_tenki IS '退院時転帰';</v>
      </c>
    </row>
    <row r="29" spans="1:52" s="25" customFormat="1" ht="94.5" thickBot="1">
      <c r="A29" s="4"/>
      <c r="B29" s="27">
        <f>ROW()-12</f>
        <v>17</v>
      </c>
      <c r="C29" s="57" t="s">
        <v>1509</v>
      </c>
      <c r="D29" s="57" t="s">
        <v>1510</v>
      </c>
      <c r="E29" s="56"/>
      <c r="F29" s="56" t="s">
        <v>865</v>
      </c>
      <c r="G29" s="56" t="str">
        <f t="shared" si="3"/>
        <v>text</v>
      </c>
      <c r="H29" s="59"/>
      <c r="I29" s="60"/>
      <c r="J29" s="64" t="s">
        <v>1518</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ENT_01_C4-29</v>
      </c>
      <c r="E6" s="240"/>
      <c r="F6" s="240"/>
      <c r="G6" s="240"/>
      <c r="H6" s="240"/>
      <c r="I6" s="240"/>
      <c r="J6" s="241"/>
    </row>
    <row r="7" spans="1:45">
      <c r="B7" s="229" t="s">
        <v>115</v>
      </c>
      <c r="C7" s="230"/>
      <c r="D7" s="231" t="s">
        <v>1521</v>
      </c>
      <c r="E7" s="232"/>
      <c r="F7" s="232"/>
      <c r="G7" s="232"/>
      <c r="H7" s="232"/>
      <c r="I7" s="232"/>
      <c r="J7" s="233"/>
    </row>
    <row r="8" spans="1:45">
      <c r="B8" s="229" t="s">
        <v>116</v>
      </c>
      <c r="C8" s="230"/>
      <c r="D8" s="231" t="str">
        <f>エンティティ一覧!AE2&amp;"_"&amp;D5&amp;"_merge_mml_sm_clinical_course"</f>
        <v>sny_202310_backup_merge_mml_sm_clinical_course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milscm_2023_009.sny_202310_backup_merge_mml_sm_clinical_course;</v>
      </c>
      <c r="O10" s="76"/>
      <c r="P10" s="76"/>
      <c r="Q10" s="76"/>
      <c r="R10" s="76"/>
      <c r="S10" s="76"/>
      <c r="T10" s="76"/>
      <c r="AJ10" s="76" t="str">
        <f>"ALTER TABLE ONLY "&amp;エンティティ一覧!$O$2&amp;"."&amp;D$8</f>
        <v>ALTER TABLE ONLY milscm_2023_009.sny_202310_backup_merge_mml_sm_clinical_course</v>
      </c>
      <c r="AS10" s="76" t="str">
        <f>"ALTER TABLE "&amp;エンティティ一覧!$O$2&amp;"."&amp;D$8&amp;" OWNER TO pgmisgrp1;"</f>
        <v>ALTER TABLE milscm_2023_009.sny_202310_backup_merge_mml_sm_clinical_course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milscm_2023_009.sny_202310_backup_merge_mml_sm_clinical_course</v>
      </c>
      <c r="O11" s="76"/>
      <c r="P11" s="76"/>
      <c r="Q11" s="76"/>
      <c r="R11" s="76"/>
      <c r="S11" s="76"/>
      <c r="T11" s="76"/>
      <c r="AJ11" s="76" t="str">
        <f>"ADD CONSTRAINT "&amp;D$8&amp;"_pkey PRIMARY KEY"</f>
        <v>ADD CONSTRAINT sny_202310_backup_merge_mml_sm_clinical_course_pkey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milscm_2023_009.sny_202310_backup_merge_mml_sm_clinical_course.facility_id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milscm_2023_009.sny_202310_backup_merge_mml_sm_clinical_course.data_type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milscm_2023_009.sny_202310_backup_merge_mml_sm_clinical_course.master_id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1346</v>
      </c>
      <c r="D21" s="13" t="s">
        <v>1347</v>
      </c>
      <c r="E21" s="7" t="s">
        <v>127</v>
      </c>
      <c r="F21" s="7" t="s">
        <v>204</v>
      </c>
      <c r="G21" s="7" t="str">
        <f t="shared" si="3"/>
        <v>integer</v>
      </c>
      <c r="H21" s="58"/>
      <c r="I21" s="23" t="s">
        <v>127</v>
      </c>
      <c r="J21" s="24" t="s">
        <v>1530</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milscm_2023_009.sny_202310_backup_merge_mml_sm_clinical_course.keika_seq IS '経過記録SEQ';</v>
      </c>
    </row>
    <row r="22" spans="1:52" s="25" customFormat="1" ht="37.5">
      <c r="A22" s="4"/>
      <c r="B22" s="21">
        <f t="shared" si="2"/>
        <v>10</v>
      </c>
      <c r="C22" s="13" t="s">
        <v>1522</v>
      </c>
      <c r="D22" s="13" t="s">
        <v>1523</v>
      </c>
      <c r="E22" s="7"/>
      <c r="F22" s="7" t="s">
        <v>865</v>
      </c>
      <c r="G22" s="7" t="str">
        <f t="shared" si="3"/>
        <v>text</v>
      </c>
      <c r="H22" s="58"/>
      <c r="I22" s="23"/>
      <c r="J22" s="24" t="s">
        <v>1531</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milscm_2023_009.sny_202310_backup_merge_mml_sm_clinical_course.keika_kiroku IS '経過記録';</v>
      </c>
    </row>
    <row r="23" spans="1:52" s="25" customFormat="1" ht="37.5">
      <c r="A23" s="4"/>
      <c r="B23" s="21">
        <f t="shared" si="2"/>
        <v>11</v>
      </c>
      <c r="C23" s="13" t="s">
        <v>1524</v>
      </c>
      <c r="D23" s="13" t="s">
        <v>1525</v>
      </c>
      <c r="E23" s="7"/>
      <c r="F23" s="7" t="s">
        <v>865</v>
      </c>
      <c r="G23" s="7" t="str">
        <f t="shared" si="3"/>
        <v>text</v>
      </c>
      <c r="H23" s="58"/>
      <c r="I23" s="23"/>
      <c r="J23" s="24" t="s">
        <v>1532</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milscm_2023_009.sny_202310_backup_merge_mml_sm_clinical_course.event_date IS 'イベント発生日時';</v>
      </c>
    </row>
    <row r="24" spans="1:52" s="25" customFormat="1" ht="37.5">
      <c r="A24" s="4"/>
      <c r="B24" s="21">
        <f t="shared" si="2"/>
        <v>12</v>
      </c>
      <c r="C24" s="13" t="s">
        <v>1526</v>
      </c>
      <c r="D24" s="13" t="s">
        <v>1527</v>
      </c>
      <c r="E24" s="7"/>
      <c r="F24" s="7" t="s">
        <v>865</v>
      </c>
      <c r="G24" s="7" t="str">
        <f t="shared" si="3"/>
        <v>text</v>
      </c>
      <c r="H24" s="58"/>
      <c r="I24" s="23"/>
      <c r="J24" s="24" t="s">
        <v>1533</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milscm_2023_009.sny_202310_backup_merge_mml_sm_clinical_course.kanren_doc_uid IS '関連文書のuid';</v>
      </c>
    </row>
    <row r="25" spans="1:52" s="25" customFormat="1" ht="75.75" thickBot="1">
      <c r="A25" s="4"/>
      <c r="B25" s="27">
        <f>ROW()-12</f>
        <v>13</v>
      </c>
      <c r="C25" s="57" t="s">
        <v>1528</v>
      </c>
      <c r="D25" s="57" t="s">
        <v>1529</v>
      </c>
      <c r="E25" s="56"/>
      <c r="F25" s="56" t="s">
        <v>865</v>
      </c>
      <c r="G25" s="56" t="str">
        <f t="shared" si="3"/>
        <v>text</v>
      </c>
      <c r="H25" s="59"/>
      <c r="I25" s="60"/>
      <c r="J25" s="64" t="s">
        <v>1534</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ENT_01_C4-30</v>
      </c>
      <c r="E6" s="240"/>
      <c r="F6" s="240"/>
      <c r="G6" s="240"/>
      <c r="H6" s="240"/>
      <c r="I6" s="240"/>
      <c r="J6" s="241"/>
    </row>
    <row r="7" spans="1:45">
      <c r="B7" s="229" t="s">
        <v>115</v>
      </c>
      <c r="C7" s="230"/>
      <c r="D7" s="231" t="s">
        <v>1536</v>
      </c>
      <c r="E7" s="232"/>
      <c r="F7" s="232"/>
      <c r="G7" s="232"/>
      <c r="H7" s="232"/>
      <c r="I7" s="232"/>
      <c r="J7" s="233"/>
    </row>
    <row r="8" spans="1:45">
      <c r="B8" s="229" t="s">
        <v>116</v>
      </c>
      <c r="C8" s="230"/>
      <c r="D8" s="231" t="str">
        <f>エンティティ一覧!AE2&amp;"_"&amp;D5&amp;"_merge_mml_sm_test_results"</f>
        <v>sny_202310_backup_merge_mml_sm_test_results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milscm_2023_009.sny_202310_backup_merge_mml_sm_test_results;</v>
      </c>
      <c r="O10" s="76"/>
      <c r="P10" s="76"/>
      <c r="Q10" s="76"/>
      <c r="R10" s="76"/>
      <c r="S10" s="76"/>
      <c r="T10" s="76"/>
      <c r="AJ10" s="76" t="str">
        <f>"ALTER TABLE ONLY "&amp;エンティティ一覧!$O$2&amp;"."&amp;D$8</f>
        <v>ALTER TABLE ONLY milscm_2023_009.sny_202310_backup_merge_mml_sm_test_results</v>
      </c>
      <c r="AS10" s="76" t="str">
        <f>"ALTER TABLE "&amp;エンティティ一覧!$O$2&amp;"."&amp;D$8&amp;" OWNER TO pgmisgrp1;"</f>
        <v>ALTER TABLE milscm_2023_009.sny_202310_backup_merge_mml_sm_test_results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milscm_2023_009.sny_202310_backup_merge_mml_sm_test_results</v>
      </c>
      <c r="O11" s="76"/>
      <c r="P11" s="76"/>
      <c r="Q11" s="76"/>
      <c r="R11" s="76"/>
      <c r="S11" s="76"/>
      <c r="T11" s="76"/>
      <c r="AJ11" s="76" t="str">
        <f>"ADD CONSTRAINT "&amp;D$8&amp;"_pkey PRIMARY KEY"</f>
        <v>ADD CONSTRAINT sny_202310_backup_merge_mml_sm_test_results_pkey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milscm_2023_009.sny_202310_backup_merge_mml_sm_test_results.facility_id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milscm_2023_009.sny_202310_backup_merge_mml_sm_test_results.data_type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milscm_2023_009.sny_202310_backup_merge_mml_sm_test_results.master_id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1538</v>
      </c>
      <c r="D21" s="13" t="s">
        <v>1539</v>
      </c>
      <c r="E21" s="7" t="s">
        <v>127</v>
      </c>
      <c r="F21" s="7" t="s">
        <v>204</v>
      </c>
      <c r="G21" s="7" t="str">
        <f t="shared" si="3"/>
        <v>integer</v>
      </c>
      <c r="H21" s="58"/>
      <c r="I21" s="23" t="s">
        <v>127</v>
      </c>
      <c r="J21" s="24" t="s">
        <v>1542</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milscm_2023_009.sny_202310_backup_merge_mml_sm_test_results.kensa_seq IS '個々の検査結果SEQ';</v>
      </c>
    </row>
    <row r="22" spans="1:52" s="25" customFormat="1" ht="37.5">
      <c r="A22" s="4"/>
      <c r="B22" s="21">
        <f t="shared" si="2"/>
        <v>10</v>
      </c>
      <c r="C22" s="13" t="s">
        <v>1540</v>
      </c>
      <c r="D22" s="13" t="s">
        <v>1541</v>
      </c>
      <c r="E22" s="7"/>
      <c r="F22" s="7" t="s">
        <v>865</v>
      </c>
      <c r="G22" s="7" t="str">
        <f t="shared" si="3"/>
        <v>text</v>
      </c>
      <c r="H22" s="58"/>
      <c r="I22" s="23"/>
      <c r="J22" s="24" t="s">
        <v>1543</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milscm_2023_009.sny_202310_backup_merge_mml_sm_test_results.kensa_result_value IS '個々の検査結果';</v>
      </c>
    </row>
    <row r="23" spans="1:52" s="25" customFormat="1" ht="38.25" thickBot="1">
      <c r="A23" s="4"/>
      <c r="B23" s="27">
        <f>ROW()-12</f>
        <v>11</v>
      </c>
      <c r="C23" s="57" t="s">
        <v>1524</v>
      </c>
      <c r="D23" s="57" t="s">
        <v>1525</v>
      </c>
      <c r="E23" s="56"/>
      <c r="F23" s="56" t="s">
        <v>865</v>
      </c>
      <c r="G23" s="56" t="str">
        <f t="shared" si="3"/>
        <v>text</v>
      </c>
      <c r="H23" s="59"/>
      <c r="I23" s="60"/>
      <c r="J23" s="64" t="s">
        <v>1544</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ENT_01_C4-31</v>
      </c>
      <c r="E6" s="240"/>
      <c r="F6" s="240"/>
      <c r="G6" s="240"/>
      <c r="H6" s="240"/>
      <c r="I6" s="240"/>
      <c r="J6" s="241"/>
    </row>
    <row r="7" spans="1:45">
      <c r="B7" s="229" t="s">
        <v>115</v>
      </c>
      <c r="C7" s="230"/>
      <c r="D7" s="231" t="s">
        <v>1545</v>
      </c>
      <c r="E7" s="232"/>
      <c r="F7" s="232"/>
      <c r="G7" s="232"/>
      <c r="H7" s="232"/>
      <c r="I7" s="232"/>
      <c r="J7" s="233"/>
    </row>
    <row r="8" spans="1:45">
      <c r="B8" s="229" t="s">
        <v>116</v>
      </c>
      <c r="C8" s="230"/>
      <c r="D8" s="231" t="str">
        <f>エンティティ一覧!AE2&amp;"_"&amp;D5&amp;"_merge_mml_lb_test"</f>
        <v>sny_202310_backup_merge_mml_lb_test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milscm_2023_009.sny_202310_backup_merge_mml_lb_test;</v>
      </c>
      <c r="O10" s="76"/>
      <c r="P10" s="76"/>
      <c r="Q10" s="76"/>
      <c r="R10" s="76"/>
      <c r="S10" s="76"/>
      <c r="T10" s="76"/>
      <c r="AJ10" s="76" t="str">
        <f>"ALTER TABLE ONLY "&amp;エンティティ一覧!$O$2&amp;"."&amp;D$8</f>
        <v>ALTER TABLE ONLY milscm_2023_009.sny_202310_backup_merge_mml_lb_test</v>
      </c>
      <c r="AS10" s="76" t="str">
        <f>"ALTER TABLE "&amp;エンティティ一覧!$O$2&amp;"."&amp;D$8&amp;" OWNER TO pgmisgrp1;"</f>
        <v>ALTER TABLE milscm_2023_009.sny_202310_backup_merge_mml_lb_test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milscm_2023_009.sny_202310_backup_merge_mml_lb_test</v>
      </c>
      <c r="O11" s="76"/>
      <c r="P11" s="76"/>
      <c r="Q11" s="76"/>
      <c r="R11" s="76"/>
      <c r="S11" s="76"/>
      <c r="T11" s="76"/>
      <c r="AJ11" s="76" t="str">
        <f>"ADD CONSTRAINT "&amp;D$8&amp;"_pkey PRIMARY KEY"</f>
        <v>ADD CONSTRAINT sny_202310_backup_merge_mml_lb_test_pkey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milscm_2023_009.sny_202310_backup_merge_mml_lb_test.facility_id IS '施設ID';</v>
      </c>
    </row>
    <row r="16" spans="1:45" s="25" customFormat="1" ht="75">
      <c r="A16" s="4"/>
      <c r="B16" s="21">
        <f t="shared" si="2"/>
        <v>4</v>
      </c>
      <c r="C16" s="13" t="s">
        <v>1244</v>
      </c>
      <c r="D16" s="13" t="s">
        <v>1245</v>
      </c>
      <c r="E16" s="7"/>
      <c r="F16" s="7" t="s">
        <v>865</v>
      </c>
      <c r="G16" s="7" t="str">
        <f t="shared" ref="G16:G20" si="7">IF(F16="フラグ","boolean",IF(F16="文字列","text",IF(F16="整数","integer",IF(F16="実数","numeric",""))))</f>
        <v>text</v>
      </c>
      <c r="H16" s="58"/>
      <c r="I16" s="23" t="s">
        <v>127</v>
      </c>
      <c r="J16" s="24" t="s">
        <v>1313</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1302</v>
      </c>
      <c r="D17" s="13" t="s">
        <v>208</v>
      </c>
      <c r="E17" s="7"/>
      <c r="F17" s="7" t="s">
        <v>865</v>
      </c>
      <c r="G17" s="7" t="str">
        <f t="shared" si="7"/>
        <v>text</v>
      </c>
      <c r="H17" s="58" t="s">
        <v>1287</v>
      </c>
      <c r="I17" s="23" t="s">
        <v>127</v>
      </c>
      <c r="J17" s="24" t="s">
        <v>1288</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milscm_2023_009.sny_202310_backup_merge_mml_lb_test.data_type IS 'データ種別';</v>
      </c>
    </row>
    <row r="18" spans="1:45" s="25" customFormat="1" ht="37.5">
      <c r="A18" s="4"/>
      <c r="B18" s="21">
        <f t="shared" si="2"/>
        <v>6</v>
      </c>
      <c r="C18" s="13" t="s">
        <v>1247</v>
      </c>
      <c r="D18" s="13" t="s">
        <v>1248</v>
      </c>
      <c r="E18" s="7" t="s">
        <v>127</v>
      </c>
      <c r="F18" s="7" t="s">
        <v>865</v>
      </c>
      <c r="G18" s="7" t="str">
        <f t="shared" si="7"/>
        <v>text</v>
      </c>
      <c r="H18" s="58"/>
      <c r="I18" s="23" t="s">
        <v>127</v>
      </c>
      <c r="J18" s="24" t="s">
        <v>1289</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milscm_2023_009.sny_202310_backup_merge_mml_lb_test.master_id IS '患者ID';</v>
      </c>
    </row>
    <row r="19" spans="1:45" s="25" customFormat="1" ht="37.5">
      <c r="A19" s="4"/>
      <c r="B19" s="21">
        <f t="shared" si="2"/>
        <v>7</v>
      </c>
      <c r="C19" s="13" t="s">
        <v>1249</v>
      </c>
      <c r="D19" s="13" t="s">
        <v>1250</v>
      </c>
      <c r="E19" s="7" t="s">
        <v>127</v>
      </c>
      <c r="F19" s="7" t="s">
        <v>865</v>
      </c>
      <c r="G19" s="7" t="str">
        <f t="shared" si="7"/>
        <v>text</v>
      </c>
      <c r="H19" s="58"/>
      <c r="I19" s="23" t="s">
        <v>127</v>
      </c>
      <c r="J19" s="24" t="s">
        <v>1290</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1546</v>
      </c>
      <c r="D20" s="13" t="s">
        <v>1547</v>
      </c>
      <c r="E20" s="7" t="s">
        <v>127</v>
      </c>
      <c r="F20" s="7" t="s">
        <v>204</v>
      </c>
      <c r="G20" s="7" t="str">
        <f t="shared" si="7"/>
        <v>integer</v>
      </c>
      <c r="H20" s="58"/>
      <c r="I20" s="23" t="s">
        <v>127</v>
      </c>
      <c r="J20" s="24" t="s">
        <v>1584</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1548</v>
      </c>
      <c r="D21" s="13" t="s">
        <v>1549</v>
      </c>
      <c r="E21" s="7"/>
      <c r="F21" s="7" t="s">
        <v>865</v>
      </c>
      <c r="G21" s="7" t="str">
        <f t="shared" si="3"/>
        <v>text</v>
      </c>
      <c r="H21" s="58"/>
      <c r="I21" s="23"/>
      <c r="J21" s="24" t="s">
        <v>1585</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milscm_2023_009.sny_202310_backup_merge_mml_lb_test.irai_id IS '依頼ID';</v>
      </c>
    </row>
    <row r="22" spans="1:45" s="25" customFormat="1" ht="37.5">
      <c r="A22" s="4"/>
      <c r="B22" s="21">
        <f t="shared" si="2"/>
        <v>10</v>
      </c>
      <c r="C22" s="13" t="s">
        <v>1550</v>
      </c>
      <c r="D22" s="13" t="s">
        <v>1551</v>
      </c>
      <c r="E22" s="7"/>
      <c r="F22" s="7" t="s">
        <v>865</v>
      </c>
      <c r="G22" s="7" t="str">
        <f t="shared" si="3"/>
        <v>text</v>
      </c>
      <c r="H22" s="58"/>
      <c r="I22" s="23"/>
      <c r="J22" s="24" t="s">
        <v>1586</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milscm_2023_009.sny_202310_backup_merge_mml_lb_test.sample_time IS '採取日時';</v>
      </c>
    </row>
    <row r="23" spans="1:45" s="25" customFormat="1" ht="37.5">
      <c r="A23" s="4"/>
      <c r="B23" s="21">
        <f t="shared" si="2"/>
        <v>11</v>
      </c>
      <c r="C23" s="13" t="s">
        <v>1552</v>
      </c>
      <c r="D23" s="13" t="s">
        <v>1553</v>
      </c>
      <c r="E23" s="7"/>
      <c r="F23" s="7" t="s">
        <v>865</v>
      </c>
      <c r="G23" s="7" t="str">
        <f t="shared" si="3"/>
        <v>text</v>
      </c>
      <c r="H23" s="58"/>
      <c r="I23" s="23"/>
      <c r="J23" s="24" t="s">
        <v>1587</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milscm_2023_009.sny_202310_backup_merge_mml_lb_test.uketsuke_time IS '受付日時';</v>
      </c>
    </row>
    <row r="24" spans="1:45" s="25" customFormat="1" ht="37.5">
      <c r="A24" s="4"/>
      <c r="B24" s="21">
        <f t="shared" si="2"/>
        <v>12</v>
      </c>
      <c r="C24" s="13" t="s">
        <v>1554</v>
      </c>
      <c r="D24" s="13" t="s">
        <v>1555</v>
      </c>
      <c r="E24" s="7"/>
      <c r="F24" s="7" t="s">
        <v>865</v>
      </c>
      <c r="G24" s="7" t="str">
        <f t="shared" si="3"/>
        <v>text</v>
      </c>
      <c r="H24" s="58"/>
      <c r="I24" s="23"/>
      <c r="J24" s="24" t="s">
        <v>1588</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1556</v>
      </c>
      <c r="D25" s="13" t="s">
        <v>1557</v>
      </c>
      <c r="E25" s="7"/>
      <c r="F25" s="7" t="s">
        <v>865</v>
      </c>
      <c r="G25" s="7" t="str">
        <f t="shared" si="3"/>
        <v>text</v>
      </c>
      <c r="H25" s="58"/>
      <c r="I25" s="23"/>
      <c r="J25" s="24" t="s">
        <v>1589</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milscm_2023_009.sny_202310_backup_merge_mml_lb_test.status IS '報告状態';</v>
      </c>
    </row>
    <row r="26" spans="1:45" s="25" customFormat="1" ht="56.25">
      <c r="A26" s="4"/>
      <c r="B26" s="21">
        <f t="shared" si="2"/>
        <v>14</v>
      </c>
      <c r="C26" s="13" t="s">
        <v>1558</v>
      </c>
      <c r="D26" s="13" t="s">
        <v>1559</v>
      </c>
      <c r="E26" s="7"/>
      <c r="F26" s="7" t="s">
        <v>865</v>
      </c>
      <c r="G26" s="7" t="str">
        <f t="shared" si="3"/>
        <v>text</v>
      </c>
      <c r="H26" s="58"/>
      <c r="I26" s="23"/>
      <c r="J26" s="24" t="s">
        <v>1590</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1560</v>
      </c>
      <c r="D27" s="13" t="s">
        <v>1561</v>
      </c>
      <c r="E27" s="7"/>
      <c r="F27" s="7" t="s">
        <v>865</v>
      </c>
      <c r="G27" s="7" t="str">
        <f t="shared" si="3"/>
        <v>text</v>
      </c>
      <c r="H27" s="58"/>
      <c r="I27" s="23"/>
      <c r="J27" s="24" t="s">
        <v>1591</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milscm_2023_009.sny_202310_backup_merge_mml_lb_test.set_name IS 'セット名';</v>
      </c>
    </row>
    <row r="28" spans="1:45" s="25" customFormat="1" ht="37.5">
      <c r="A28" s="4"/>
      <c r="B28" s="21">
        <f t="shared" si="2"/>
        <v>16</v>
      </c>
      <c r="C28" s="13" t="s">
        <v>1562</v>
      </c>
      <c r="D28" s="13" t="s">
        <v>1563</v>
      </c>
      <c r="E28" s="7"/>
      <c r="F28" s="7" t="s">
        <v>865</v>
      </c>
      <c r="G28" s="7" t="str">
        <f t="shared" si="3"/>
        <v>text</v>
      </c>
      <c r="H28" s="58"/>
      <c r="I28" s="23"/>
      <c r="J28" s="24" t="s">
        <v>1592</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milscm_2023_009.sny_202310_backup_merge_mml_lb_test.set_name_code IS 'セット名コード';</v>
      </c>
    </row>
    <row r="29" spans="1:45" s="25" customFormat="1" ht="37.5">
      <c r="A29" s="4"/>
      <c r="B29" s="21">
        <f t="shared" si="2"/>
        <v>17</v>
      </c>
      <c r="C29" s="13" t="s">
        <v>1564</v>
      </c>
      <c r="D29" s="13" t="s">
        <v>1565</v>
      </c>
      <c r="E29" s="7"/>
      <c r="F29" s="7" t="s">
        <v>865</v>
      </c>
      <c r="G29" s="7" t="str">
        <f t="shared" si="3"/>
        <v>text</v>
      </c>
      <c r="H29" s="58"/>
      <c r="I29" s="23"/>
      <c r="J29" s="24" t="s">
        <v>1593</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1566</v>
      </c>
      <c r="D30" s="13" t="s">
        <v>1567</v>
      </c>
      <c r="E30" s="7"/>
      <c r="F30" s="7" t="s">
        <v>865</v>
      </c>
      <c r="G30" s="7" t="str">
        <f t="shared" si="3"/>
        <v>text</v>
      </c>
      <c r="H30" s="58"/>
      <c r="I30" s="23"/>
      <c r="J30" s="24" t="s">
        <v>1594</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1568</v>
      </c>
      <c r="D31" s="13" t="s">
        <v>1569</v>
      </c>
      <c r="E31" s="7"/>
      <c r="F31" s="7" t="s">
        <v>865</v>
      </c>
      <c r="G31" s="7" t="str">
        <f t="shared" si="3"/>
        <v>text</v>
      </c>
      <c r="H31" s="58"/>
      <c r="I31" s="23"/>
      <c r="J31" s="24" t="s">
        <v>1595</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milscm_2023_009.sny_202310_backup_merge_mml_lb_test.irai_facility_code IS '依頼施設コード';</v>
      </c>
    </row>
    <row r="32" spans="1:45" s="25" customFormat="1" ht="37.5">
      <c r="A32" s="4"/>
      <c r="B32" s="21">
        <f t="shared" si="2"/>
        <v>20</v>
      </c>
      <c r="C32" s="13" t="s">
        <v>1570</v>
      </c>
      <c r="D32" s="13" t="s">
        <v>1571</v>
      </c>
      <c r="E32" s="7"/>
      <c r="F32" s="7" t="s">
        <v>865</v>
      </c>
      <c r="G32" s="7" t="str">
        <f t="shared" si="3"/>
        <v>text</v>
      </c>
      <c r="H32" s="58"/>
      <c r="I32" s="23"/>
      <c r="J32" s="24" t="s">
        <v>1596</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1572</v>
      </c>
      <c r="D33" s="13" t="s">
        <v>1573</v>
      </c>
      <c r="E33" s="7"/>
      <c r="F33" s="7" t="s">
        <v>865</v>
      </c>
      <c r="G33" s="7" t="str">
        <f t="shared" si="3"/>
        <v>text</v>
      </c>
      <c r="H33" s="58"/>
      <c r="I33" s="23"/>
      <c r="J33" s="24" t="s">
        <v>1597</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milscm_2023_009.sny_202310_backup_merge_mml_lb_test.irai_department IS '依頼診療科';</v>
      </c>
    </row>
    <row r="34" spans="1:52" s="25" customFormat="1" ht="37.5">
      <c r="A34" s="4"/>
      <c r="B34" s="21">
        <f t="shared" si="2"/>
        <v>22</v>
      </c>
      <c r="C34" s="13" t="s">
        <v>1574</v>
      </c>
      <c r="D34" s="13" t="s">
        <v>1575</v>
      </c>
      <c r="E34" s="7"/>
      <c r="F34" s="7" t="s">
        <v>865</v>
      </c>
      <c r="G34" s="7" t="str">
        <f t="shared" si="3"/>
        <v>text</v>
      </c>
      <c r="H34" s="58"/>
      <c r="I34" s="23"/>
      <c r="J34" s="24" t="s">
        <v>1598</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1576</v>
      </c>
      <c r="D35" s="13" t="s">
        <v>1577</v>
      </c>
      <c r="E35" s="7"/>
      <c r="F35" s="7" t="s">
        <v>865</v>
      </c>
      <c r="G35" s="7" t="str">
        <f t="shared" si="3"/>
        <v>text</v>
      </c>
      <c r="H35" s="58"/>
      <c r="I35" s="23"/>
      <c r="J35" s="24" t="s">
        <v>1599</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milscm_2023_009.sny_202310_backup_merge_mml_lb_test.irai_ward IS '依頼病棟';</v>
      </c>
    </row>
    <row r="36" spans="1:52" s="25" customFormat="1" ht="37.5">
      <c r="A36" s="4"/>
      <c r="B36" s="21">
        <f t="shared" si="2"/>
        <v>24</v>
      </c>
      <c r="C36" s="13" t="s">
        <v>1578</v>
      </c>
      <c r="D36" s="13" t="s">
        <v>1579</v>
      </c>
      <c r="E36" s="7"/>
      <c r="F36" s="7" t="s">
        <v>865</v>
      </c>
      <c r="G36" s="7" t="str">
        <f t="shared" si="3"/>
        <v>text</v>
      </c>
      <c r="H36" s="58"/>
      <c r="I36" s="23"/>
      <c r="J36" s="24" t="s">
        <v>1600</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milscm_2023_009.sny_202310_backup_merge_mml_lb_test.irai_ward_code IS '依頼病棟コード';</v>
      </c>
    </row>
    <row r="37" spans="1:52" s="25" customFormat="1" ht="37.5">
      <c r="A37" s="4"/>
      <c r="B37" s="21">
        <f t="shared" si="2"/>
        <v>25</v>
      </c>
      <c r="C37" s="13" t="s">
        <v>1580</v>
      </c>
      <c r="D37" s="13" t="s">
        <v>1581</v>
      </c>
      <c r="E37" s="7"/>
      <c r="F37" s="7" t="s">
        <v>865</v>
      </c>
      <c r="G37" s="7" t="str">
        <f t="shared" si="3"/>
        <v>text</v>
      </c>
      <c r="H37" s="58"/>
      <c r="I37" s="23"/>
      <c r="J37" s="24" t="s">
        <v>1601</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milscm_2023_009.sny_202310_backup_merge_mml_lb_test.irai_ward_code_id IS '依頼病棟コードID';</v>
      </c>
    </row>
    <row r="38" spans="1:52" s="25" customFormat="1" ht="19.5" thickBot="1">
      <c r="A38" s="4"/>
      <c r="B38" s="27">
        <f>ROW()-12</f>
        <v>26</v>
      </c>
      <c r="C38" s="57" t="s">
        <v>1582</v>
      </c>
      <c r="D38" s="57" t="s">
        <v>1583</v>
      </c>
      <c r="E38" s="56"/>
      <c r="F38" s="56" t="s">
        <v>865</v>
      </c>
      <c r="G38" s="56" t="str">
        <f t="shared" si="3"/>
        <v>text</v>
      </c>
      <c r="H38" s="59"/>
      <c r="I38" s="60"/>
      <c r="J38" s="64" t="s">
        <v>1602</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ENT_01_C4-33</v>
      </c>
      <c r="E6" s="240"/>
      <c r="F6" s="240"/>
      <c r="G6" s="240"/>
      <c r="H6" s="240"/>
      <c r="I6" s="240"/>
      <c r="J6" s="241"/>
    </row>
    <row r="7" spans="1:45">
      <c r="B7" s="229" t="s">
        <v>115</v>
      </c>
      <c r="C7" s="230"/>
      <c r="D7" s="231" t="s">
        <v>1603</v>
      </c>
      <c r="E7" s="232"/>
      <c r="F7" s="232"/>
      <c r="G7" s="232"/>
      <c r="H7" s="232"/>
      <c r="I7" s="232"/>
      <c r="J7" s="233"/>
    </row>
    <row r="8" spans="1:45">
      <c r="B8" s="229" t="s">
        <v>116</v>
      </c>
      <c r="C8" s="230"/>
      <c r="D8" s="231" t="str">
        <f>エンティティ一覧!AE2&amp;"_"&amp;D5&amp;"_merge_mml_lb_specimen"</f>
        <v>sny_202310_backup_merge_mml_lb_specimen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milscm_2023_009.sny_202310_backup_merge_mml_lb_specimen;</v>
      </c>
      <c r="O10" s="76"/>
      <c r="P10" s="76"/>
      <c r="Q10" s="76"/>
      <c r="R10" s="76"/>
      <c r="S10" s="76"/>
      <c r="T10" s="76"/>
      <c r="AJ10" s="76" t="str">
        <f>"ALTER TABLE ONLY "&amp;エンティティ一覧!$O$2&amp;"."&amp;D$8</f>
        <v>ALTER TABLE ONLY milscm_2023_009.sny_202310_backup_merge_mml_lb_specimen</v>
      </c>
      <c r="AS10" s="76" t="str">
        <f>"ALTER TABLE "&amp;エンティティ一覧!$O$2&amp;"."&amp;D$8&amp;" OWNER TO pgmisgrp1;"</f>
        <v>ALTER TABLE milscm_2023_009.sny_202310_backup_merge_mml_lb_specimen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milscm_2023_009.sny_202310_backup_merge_mml_lb_specimen</v>
      </c>
      <c r="O11" s="76"/>
      <c r="P11" s="76"/>
      <c r="Q11" s="76"/>
      <c r="R11" s="76"/>
      <c r="S11" s="76"/>
      <c r="T11" s="76"/>
      <c r="AJ11" s="76" t="str">
        <f>"ADD CONSTRAINT "&amp;D$8&amp;"_pkey PRIMARY KEY"</f>
        <v>ADD CONSTRAINT sny_202310_backup_merge_mml_lb_specimen_pkey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milscm_2023_009.sny_202310_backup_merge_mml_lb_specimen.facility_id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milscm_2023_009.sny_202310_backup_merge_mml_lb_specimen.data_type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milscm_2023_009.sny_202310_backup_merge_mml_lb_specimen.master_id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1604</v>
      </c>
      <c r="D21" s="13" t="s">
        <v>1605</v>
      </c>
      <c r="E21" s="7" t="s">
        <v>127</v>
      </c>
      <c r="F21" s="7" t="s">
        <v>204</v>
      </c>
      <c r="G21" s="7" t="str">
        <f t="shared" si="3"/>
        <v>integer</v>
      </c>
      <c r="H21" s="58"/>
      <c r="I21" s="23" t="s">
        <v>127</v>
      </c>
      <c r="J21" s="24" t="s">
        <v>1616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milscm_2023_009.sny_202310_backup_merge_mml_lb_specimen.labo_test_seq IS '検体結果情報SEQ';</v>
      </c>
    </row>
    <row r="22" spans="1:52" s="25" customFormat="1" ht="75">
      <c r="A22" s="4"/>
      <c r="B22" s="21">
        <f t="shared" si="2"/>
        <v>10</v>
      </c>
      <c r="C22" s="13" t="s">
        <v>1606</v>
      </c>
      <c r="D22" s="13" t="s">
        <v>1607</v>
      </c>
      <c r="E22" s="7" t="s">
        <v>127</v>
      </c>
      <c r="F22" s="7" t="s">
        <v>204</v>
      </c>
      <c r="G22" s="7" t="str">
        <f t="shared" si="3"/>
        <v>integer</v>
      </c>
      <c r="H22" s="58">
        <v>1</v>
      </c>
      <c r="I22" s="23" t="s">
        <v>127</v>
      </c>
      <c r="J22" s="24" t="s">
        <v>1617</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1608</v>
      </c>
      <c r="D23" s="13" t="s">
        <v>1609</v>
      </c>
      <c r="E23" s="7"/>
      <c r="F23" s="7" t="s">
        <v>865</v>
      </c>
      <c r="G23" s="7" t="str">
        <f t="shared" si="3"/>
        <v>text</v>
      </c>
      <c r="H23" s="58"/>
      <c r="I23" s="23"/>
      <c r="J23" s="24" t="s">
        <v>1618</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milscm_2023_009.sny_202310_backup_merge_mml_lb_specimen.specimen_name IS '検体材料';</v>
      </c>
    </row>
    <row r="24" spans="1:52" s="25" customFormat="1" ht="37.5">
      <c r="A24" s="4"/>
      <c r="B24" s="21">
        <f t="shared" si="2"/>
        <v>12</v>
      </c>
      <c r="C24" s="13" t="s">
        <v>1610</v>
      </c>
      <c r="D24" s="13" t="s">
        <v>1611</v>
      </c>
      <c r="E24" s="7"/>
      <c r="F24" s="7" t="s">
        <v>865</v>
      </c>
      <c r="G24" s="7" t="str">
        <f t="shared" si="3"/>
        <v>text</v>
      </c>
      <c r="H24" s="58"/>
      <c r="I24" s="23"/>
      <c r="J24" s="24" t="s">
        <v>1619</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milscm_2023_009.sny_202310_backup_merge_mml_lb_specimen.sp_code IS '検体材料コード';</v>
      </c>
    </row>
    <row r="25" spans="1:52" s="25" customFormat="1" ht="37.5">
      <c r="A25" s="4"/>
      <c r="B25" s="21">
        <f t="shared" si="2"/>
        <v>13</v>
      </c>
      <c r="C25" s="13" t="s">
        <v>1612</v>
      </c>
      <c r="D25" s="13" t="s">
        <v>1613</v>
      </c>
      <c r="E25" s="7"/>
      <c r="F25" s="7" t="s">
        <v>865</v>
      </c>
      <c r="G25" s="7" t="str">
        <f t="shared" si="3"/>
        <v>text</v>
      </c>
      <c r="H25" s="58"/>
      <c r="I25" s="23"/>
      <c r="J25" s="24" t="s">
        <v>1620</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milscm_2023_009.sny_202310_backup_merge_mml_lb_specimen.sp_code_id IS '検体材料コードのテーブル名';</v>
      </c>
    </row>
    <row r="26" spans="1:52" s="25" customFormat="1" ht="19.5" thickBot="1">
      <c r="A26" s="4"/>
      <c r="B26" s="27">
        <f>ROW()-12</f>
        <v>14</v>
      </c>
      <c r="C26" s="57" t="s">
        <v>1614</v>
      </c>
      <c r="D26" s="57" t="s">
        <v>1615</v>
      </c>
      <c r="E26" s="56"/>
      <c r="F26" s="56" t="s">
        <v>865</v>
      </c>
      <c r="G26" s="56" t="str">
        <f t="shared" si="3"/>
        <v>text</v>
      </c>
      <c r="H26" s="59"/>
      <c r="I26" s="60"/>
      <c r="J26" s="64" t="s">
        <v>1621</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ENT_01_C4-35</v>
      </c>
      <c r="E6" s="240"/>
      <c r="F6" s="240"/>
      <c r="G6" s="240"/>
      <c r="H6" s="240"/>
      <c r="I6" s="240"/>
      <c r="J6" s="241"/>
    </row>
    <row r="7" spans="1:45">
      <c r="B7" s="229" t="s">
        <v>115</v>
      </c>
      <c r="C7" s="230"/>
      <c r="D7" s="231" t="s">
        <v>1622</v>
      </c>
      <c r="E7" s="232"/>
      <c r="F7" s="232"/>
      <c r="G7" s="232"/>
      <c r="H7" s="232"/>
      <c r="I7" s="232"/>
      <c r="J7" s="233"/>
    </row>
    <row r="8" spans="1:45">
      <c r="B8" s="229" t="s">
        <v>116</v>
      </c>
      <c r="C8" s="230"/>
      <c r="D8" s="231" t="str">
        <f>エンティティ一覧!AE2&amp;"_"&amp;D5&amp;"_merge_mml_lb_item"</f>
        <v>sny_202310_backup_merge_mml_lb_item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milscm_2023_009.sny_202310_backup_merge_mml_lb_item;</v>
      </c>
      <c r="O10" s="76"/>
      <c r="P10" s="76"/>
      <c r="Q10" s="76"/>
      <c r="R10" s="76"/>
      <c r="S10" s="76"/>
      <c r="T10" s="76"/>
      <c r="AJ10" s="76" t="str">
        <f>"ALTER TABLE ONLY "&amp;エンティティ一覧!$O$2&amp;"."&amp;D$8</f>
        <v>ALTER TABLE ONLY milscm_2023_009.sny_202310_backup_merge_mml_lb_item</v>
      </c>
      <c r="AS10" s="76" t="str">
        <f>"ALTER TABLE "&amp;エンティティ一覧!$O$2&amp;"."&amp;D$8&amp;" OWNER TO pgmisgrp1;"</f>
        <v>ALTER TABLE milscm_2023_009.sny_202310_backup_merge_mml_lb_item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milscm_2023_009.sny_202310_backup_merge_mml_lb_item</v>
      </c>
      <c r="O11" s="76"/>
      <c r="P11" s="76"/>
      <c r="Q11" s="76"/>
      <c r="R11" s="76"/>
      <c r="S11" s="76"/>
      <c r="T11" s="76"/>
      <c r="AJ11" s="76" t="str">
        <f>"ADD CONSTRAINT "&amp;D$8&amp;"_pkey PRIMARY KEY"</f>
        <v>ADD CONSTRAINT sny_202310_backup_merge_mml_lb_item_pkey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1284</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milscm_2023_009.sny_202310_backup_merge_mml_lb_item.data_type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milscm_2023_009.sny_202310_backup_merge_mml_lb_item.master_id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1604</v>
      </c>
      <c r="D21" s="13" t="s">
        <v>1605</v>
      </c>
      <c r="E21" s="7" t="s">
        <v>127</v>
      </c>
      <c r="F21" s="7" t="s">
        <v>204</v>
      </c>
      <c r="G21" s="7" t="str">
        <f t="shared" si="3"/>
        <v>integer</v>
      </c>
      <c r="H21" s="58"/>
      <c r="I21" s="23" t="s">
        <v>127</v>
      </c>
      <c r="J21" s="24" t="s">
        <v>1660</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1623</v>
      </c>
      <c r="D22" s="13" t="s">
        <v>1624</v>
      </c>
      <c r="E22" s="7" t="s">
        <v>127</v>
      </c>
      <c r="F22" s="7" t="s">
        <v>204</v>
      </c>
      <c r="G22" s="7" t="str">
        <f t="shared" si="3"/>
        <v>integer</v>
      </c>
      <c r="H22" s="58"/>
      <c r="I22" s="23" t="s">
        <v>127</v>
      </c>
      <c r="J22" s="24" t="s">
        <v>1661</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1625</v>
      </c>
      <c r="D23" s="13" t="s">
        <v>1626</v>
      </c>
      <c r="E23" s="7"/>
      <c r="F23" s="7" t="s">
        <v>865</v>
      </c>
      <c r="G23" s="7" t="str">
        <f t="shared" si="3"/>
        <v>text</v>
      </c>
      <c r="H23" s="58"/>
      <c r="I23" s="23"/>
      <c r="J23" s="24" t="s">
        <v>1662</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1627</v>
      </c>
      <c r="D24" s="13" t="s">
        <v>1628</v>
      </c>
      <c r="E24" s="7"/>
      <c r="F24" s="7" t="s">
        <v>865</v>
      </c>
      <c r="G24" s="7" t="str">
        <f t="shared" si="3"/>
        <v>text</v>
      </c>
      <c r="H24" s="58"/>
      <c r="I24" s="23"/>
      <c r="J24" s="24" t="s">
        <v>1663</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1629</v>
      </c>
      <c r="D25" s="13" t="s">
        <v>1630</v>
      </c>
      <c r="E25" s="7"/>
      <c r="F25" s="7" t="s">
        <v>865</v>
      </c>
      <c r="G25" s="7" t="str">
        <f t="shared" si="3"/>
        <v>text</v>
      </c>
      <c r="H25" s="58"/>
      <c r="I25" s="23"/>
      <c r="J25" s="24" t="s">
        <v>1664</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1631</v>
      </c>
      <c r="D26" s="13" t="s">
        <v>1632</v>
      </c>
      <c r="E26" s="7"/>
      <c r="F26" s="7" t="s">
        <v>865</v>
      </c>
      <c r="G26" s="7" t="str">
        <f t="shared" si="3"/>
        <v>text</v>
      </c>
      <c r="H26" s="58"/>
      <c r="I26" s="23"/>
      <c r="J26" s="24" t="s">
        <v>1665</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1633</v>
      </c>
      <c r="D27" s="13" t="s">
        <v>1634</v>
      </c>
      <c r="E27" s="7"/>
      <c r="F27" s="7" t="s">
        <v>865</v>
      </c>
      <c r="G27" s="7" t="str">
        <f t="shared" si="3"/>
        <v>text</v>
      </c>
      <c r="H27" s="58"/>
      <c r="I27" s="23"/>
      <c r="J27" s="24" t="s">
        <v>1666</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1635</v>
      </c>
      <c r="D28" s="13" t="s">
        <v>1636</v>
      </c>
      <c r="E28" s="7"/>
      <c r="F28" s="7" t="s">
        <v>865</v>
      </c>
      <c r="G28" s="7" t="str">
        <f t="shared" si="3"/>
        <v>text</v>
      </c>
      <c r="H28" s="58"/>
      <c r="I28" s="23"/>
      <c r="J28" s="24" t="s">
        <v>1667</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1637</v>
      </c>
      <c r="D29" s="13" t="s">
        <v>1638</v>
      </c>
      <c r="E29" s="7"/>
      <c r="F29" s="7" t="s">
        <v>865</v>
      </c>
      <c r="G29" s="7" t="str">
        <f t="shared" si="3"/>
        <v>text</v>
      </c>
      <c r="H29" s="58"/>
      <c r="I29" s="23"/>
      <c r="J29" s="24" t="s">
        <v>1668</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1639</v>
      </c>
      <c r="D30" s="13" t="s">
        <v>1640</v>
      </c>
      <c r="E30" s="7"/>
      <c r="F30" s="7" t="s">
        <v>865</v>
      </c>
      <c r="G30" s="7" t="str">
        <f t="shared" si="3"/>
        <v>text</v>
      </c>
      <c r="H30" s="58"/>
      <c r="I30" s="23"/>
      <c r="J30" s="24" t="s">
        <v>1669</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1641</v>
      </c>
      <c r="D31" s="13" t="s">
        <v>1642</v>
      </c>
      <c r="E31" s="7"/>
      <c r="F31" s="7" t="s">
        <v>865</v>
      </c>
      <c r="G31" s="7" t="str">
        <f t="shared" si="3"/>
        <v>text</v>
      </c>
      <c r="H31" s="58"/>
      <c r="I31" s="23"/>
      <c r="J31" s="24" t="s">
        <v>1670</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1643</v>
      </c>
      <c r="D32" s="13" t="s">
        <v>1644</v>
      </c>
      <c r="E32" s="7"/>
      <c r="F32" s="7" t="s">
        <v>865</v>
      </c>
      <c r="G32" s="7" t="str">
        <f t="shared" si="3"/>
        <v>text</v>
      </c>
      <c r="H32" s="58"/>
      <c r="I32" s="23"/>
      <c r="J32" s="24" t="s">
        <v>1671</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1645</v>
      </c>
      <c r="D33" s="13" t="s">
        <v>1646</v>
      </c>
      <c r="E33" s="7"/>
      <c r="F33" s="7" t="s">
        <v>865</v>
      </c>
      <c r="G33" s="7" t="str">
        <f t="shared" si="3"/>
        <v>text</v>
      </c>
      <c r="H33" s="58"/>
      <c r="I33" s="23"/>
      <c r="J33" s="24" t="s">
        <v>1672</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1647</v>
      </c>
      <c r="D34" s="13" t="s">
        <v>1648</v>
      </c>
      <c r="E34" s="7"/>
      <c r="F34" s="7" t="s">
        <v>865</v>
      </c>
      <c r="G34" s="7" t="str">
        <f t="shared" si="3"/>
        <v>text</v>
      </c>
      <c r="H34" s="58"/>
      <c r="I34" s="23"/>
      <c r="J34" s="24" t="s">
        <v>1673</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1649</v>
      </c>
      <c r="D35" s="13" t="s">
        <v>1650</v>
      </c>
      <c r="E35" s="7"/>
      <c r="F35" s="7" t="s">
        <v>865</v>
      </c>
      <c r="G35" s="7" t="str">
        <f t="shared" si="3"/>
        <v>text</v>
      </c>
      <c r="H35" s="58"/>
      <c r="I35" s="23"/>
      <c r="J35" s="24" t="s">
        <v>1674</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milscm_2023_009.sny_202310_backup_merge_mml_lb_item.normal_value IS '文字列で示す基準値';</v>
      </c>
    </row>
    <row r="36" spans="1:52" s="25" customFormat="1" ht="56.25">
      <c r="A36" s="4"/>
      <c r="B36" s="21">
        <f t="shared" si="2"/>
        <v>24</v>
      </c>
      <c r="C36" s="13" t="s">
        <v>1651</v>
      </c>
      <c r="D36" s="13" t="s">
        <v>1652</v>
      </c>
      <c r="E36" s="7"/>
      <c r="F36" s="7" t="s">
        <v>865</v>
      </c>
      <c r="G36" s="7" t="str">
        <f t="shared" ref="G36:G37" si="7">IF(F36="フラグ","boolean",IF(F36="文字列","text",IF(F36="整数","integer",IF(F36="実数","numeric",""))))</f>
        <v>text</v>
      </c>
      <c r="H36" s="58"/>
      <c r="I36" s="23"/>
      <c r="J36" s="24" t="s">
        <v>1675</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1653</v>
      </c>
      <c r="D37" s="13" t="s">
        <v>276</v>
      </c>
      <c r="E37" s="7"/>
      <c r="F37" s="7" t="s">
        <v>865</v>
      </c>
      <c r="G37" s="7" t="str">
        <f t="shared" si="7"/>
        <v>text</v>
      </c>
      <c r="H37" s="58"/>
      <c r="I37" s="23"/>
      <c r="J37" s="24" t="s">
        <v>1676</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milscm_2023_009.sny_202310_backup_merge_mml_lb_item.unit IS '単位';</v>
      </c>
    </row>
    <row r="38" spans="1:52" s="25" customFormat="1" ht="37.5">
      <c r="A38" s="4"/>
      <c r="B38" s="21">
        <f t="shared" si="2"/>
        <v>26</v>
      </c>
      <c r="C38" s="13" t="s">
        <v>1654</v>
      </c>
      <c r="D38" s="13" t="s">
        <v>1655</v>
      </c>
      <c r="E38" s="7"/>
      <c r="F38" s="7" t="s">
        <v>865</v>
      </c>
      <c r="G38" s="7" t="str">
        <f t="shared" si="3"/>
        <v>text</v>
      </c>
      <c r="H38" s="58"/>
      <c r="I38" s="23"/>
      <c r="J38" s="24" t="s">
        <v>1677</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milscm_2023_009.sny_202310_backup_merge_mml_lb_item.unit_code IS '単位コード';</v>
      </c>
    </row>
    <row r="39" spans="1:52" s="25" customFormat="1" ht="37.5">
      <c r="A39" s="4"/>
      <c r="B39" s="21">
        <f t="shared" si="2"/>
        <v>27</v>
      </c>
      <c r="C39" s="13" t="s">
        <v>1656</v>
      </c>
      <c r="D39" s="13" t="s">
        <v>1657</v>
      </c>
      <c r="E39" s="7"/>
      <c r="F39" s="7" t="s">
        <v>865</v>
      </c>
      <c r="G39" s="7" t="str">
        <f t="shared" si="3"/>
        <v>text</v>
      </c>
      <c r="H39" s="58"/>
      <c r="I39" s="23"/>
      <c r="J39" s="24" t="s">
        <v>1678</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milscm_2023_009.sny_202310_backup_merge_mml_lb_item.unit_code_id IS '単位コードID';</v>
      </c>
    </row>
    <row r="40" spans="1:52" s="25" customFormat="1" ht="19.5" thickBot="1">
      <c r="A40" s="4"/>
      <c r="B40" s="27">
        <f>ROW()-12</f>
        <v>28</v>
      </c>
      <c r="C40" s="57" t="s">
        <v>1658</v>
      </c>
      <c r="D40" s="57" t="s">
        <v>1659</v>
      </c>
      <c r="E40" s="56"/>
      <c r="F40" s="56" t="s">
        <v>865</v>
      </c>
      <c r="G40" s="56" t="str">
        <f t="shared" si="3"/>
        <v>text</v>
      </c>
      <c r="H40" s="59"/>
      <c r="I40" s="60"/>
      <c r="J40" s="64" t="s">
        <v>1679</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ENT_01_C4-37</v>
      </c>
      <c r="E6" s="240"/>
      <c r="F6" s="240"/>
      <c r="G6" s="240"/>
      <c r="H6" s="240"/>
      <c r="I6" s="240"/>
      <c r="J6" s="241"/>
    </row>
    <row r="7" spans="1:45">
      <c r="B7" s="229" t="s">
        <v>115</v>
      </c>
      <c r="C7" s="230"/>
      <c r="D7" s="231" t="s">
        <v>1680</v>
      </c>
      <c r="E7" s="232"/>
      <c r="F7" s="232"/>
      <c r="G7" s="232"/>
      <c r="H7" s="232"/>
      <c r="I7" s="232"/>
      <c r="J7" s="233"/>
    </row>
    <row r="8" spans="1:45">
      <c r="B8" s="229" t="s">
        <v>116</v>
      </c>
      <c r="C8" s="230"/>
      <c r="D8" s="231" t="str">
        <f>エンティティ一覧!AE2&amp;"_"&amp;D5&amp;"_merge_mml_vs_vitalsign"</f>
        <v>sny_202310_backup_merge_mml_vs_vitalsign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milscm_2023_009.sny_202310_backup_merge_mml_vs_vitalsign;</v>
      </c>
      <c r="O10" s="76"/>
      <c r="P10" s="76"/>
      <c r="Q10" s="76"/>
      <c r="R10" s="76"/>
      <c r="S10" s="76"/>
      <c r="T10" s="76"/>
      <c r="AJ10" s="76" t="str">
        <f>"ALTER TABLE ONLY "&amp;エンティティ一覧!$O$2&amp;"."&amp;D$8</f>
        <v>ALTER TABLE ONLY milscm_2023_009.sny_202310_backup_merge_mml_vs_vitalsign</v>
      </c>
      <c r="AS10" s="76" t="str">
        <f>"ALTER TABLE "&amp;エンティティ一覧!$O$2&amp;"."&amp;D$8&amp;" OWNER TO pgmisgrp1;"</f>
        <v>ALTER TABLE milscm_2023_009.sny_202310_backup_merge_mml_vs_vitalsign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milscm_2023_009.sny_202310_backup_merge_mml_vs_vitalsign</v>
      </c>
      <c r="O11" s="76"/>
      <c r="P11" s="76"/>
      <c r="Q11" s="76"/>
      <c r="R11" s="76"/>
      <c r="S11" s="76"/>
      <c r="T11" s="76"/>
      <c r="AJ11" s="76" t="str">
        <f>"ADD CONSTRAINT "&amp;D$8&amp;"_pkey PRIMARY KEY"</f>
        <v>ADD CONSTRAINT sny_202310_backup_merge_mml_vs_vitalsign_pkey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1683</v>
      </c>
      <c r="D21" s="13" t="s">
        <v>1684</v>
      </c>
      <c r="E21" s="7"/>
      <c r="F21" s="7" t="s">
        <v>865</v>
      </c>
      <c r="G21" s="7" t="str">
        <f t="shared" si="3"/>
        <v>text</v>
      </c>
      <c r="H21" s="58"/>
      <c r="I21" s="23"/>
      <c r="J21" s="24" t="s">
        <v>1705</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milscm_2023_009.sny_202310_backup_merge_mml_vs_vitalsign.department_name IS '診療科名';</v>
      </c>
    </row>
    <row r="22" spans="1:45" s="25" customFormat="1" ht="37.5">
      <c r="A22" s="4"/>
      <c r="B22" s="21">
        <f t="shared" si="2"/>
        <v>10</v>
      </c>
      <c r="C22" s="13" t="s">
        <v>603</v>
      </c>
      <c r="D22" s="13" t="s">
        <v>1685</v>
      </c>
      <c r="E22" s="7"/>
      <c r="F22" s="7" t="s">
        <v>865</v>
      </c>
      <c r="G22" s="7" t="str">
        <f t="shared" si="3"/>
        <v>text</v>
      </c>
      <c r="H22" s="58"/>
      <c r="I22" s="23"/>
      <c r="J22" s="24" t="s">
        <v>1706</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1686</v>
      </c>
      <c r="D23" s="13" t="s">
        <v>1687</v>
      </c>
      <c r="E23" s="7"/>
      <c r="F23" s="7" t="s">
        <v>865</v>
      </c>
      <c r="G23" s="7" t="str">
        <f t="shared" si="3"/>
        <v>text</v>
      </c>
      <c r="H23" s="58"/>
      <c r="I23" s="23"/>
      <c r="J23" s="24" t="s">
        <v>1707</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1708</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milscm_2023_009.sny_202310_backup_merge_mml_vs_vitalsign.ward_code IS '病棟コード';</v>
      </c>
    </row>
    <row r="25" spans="1:45" s="25" customFormat="1" ht="37.5">
      <c r="A25" s="4"/>
      <c r="B25" s="21">
        <f t="shared" si="2"/>
        <v>13</v>
      </c>
      <c r="C25" s="13" t="s">
        <v>1688</v>
      </c>
      <c r="D25" s="13" t="s">
        <v>1689</v>
      </c>
      <c r="E25" s="7"/>
      <c r="F25" s="7" t="s">
        <v>865</v>
      </c>
      <c r="G25" s="7" t="str">
        <f t="shared" si="3"/>
        <v>text</v>
      </c>
      <c r="H25" s="58"/>
      <c r="I25" s="23"/>
      <c r="J25" s="24" t="s">
        <v>1709</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milscm_2023_009.sny_202310_backup_merge_mml_vs_vitalsign.ward_code_id IS '病棟コードID';</v>
      </c>
    </row>
    <row r="26" spans="1:45" s="25" customFormat="1" ht="37.5">
      <c r="A26" s="4"/>
      <c r="B26" s="21">
        <f t="shared" si="2"/>
        <v>14</v>
      </c>
      <c r="C26" s="13" t="s">
        <v>1690</v>
      </c>
      <c r="D26" s="13" t="s">
        <v>1691</v>
      </c>
      <c r="E26" s="7"/>
      <c r="F26" s="7" t="s">
        <v>865</v>
      </c>
      <c r="G26" s="7" t="str">
        <f t="shared" si="3"/>
        <v>text</v>
      </c>
      <c r="H26" s="58"/>
      <c r="I26" s="23"/>
      <c r="J26" s="24" t="s">
        <v>1710</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1692</v>
      </c>
      <c r="D27" s="13" t="s">
        <v>1693</v>
      </c>
      <c r="E27" s="7"/>
      <c r="F27" s="7" t="s">
        <v>865</v>
      </c>
      <c r="G27" s="7" t="str">
        <f t="shared" si="3"/>
        <v>text</v>
      </c>
      <c r="H27" s="58"/>
      <c r="I27" s="23"/>
      <c r="J27" s="24" t="s">
        <v>1711</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1694</v>
      </c>
      <c r="D28" s="13" t="s">
        <v>1695</v>
      </c>
      <c r="E28" s="7"/>
      <c r="F28" s="7" t="s">
        <v>865</v>
      </c>
      <c r="G28" s="7" t="str">
        <f t="shared" si="3"/>
        <v>text</v>
      </c>
      <c r="H28" s="58"/>
      <c r="I28" s="23"/>
      <c r="J28" s="24" t="s">
        <v>1712</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1696</v>
      </c>
      <c r="D29" s="13" t="s">
        <v>1697</v>
      </c>
      <c r="E29" s="7"/>
      <c r="F29" s="7" t="s">
        <v>865</v>
      </c>
      <c r="G29" s="7" t="str">
        <f t="shared" si="3"/>
        <v>text</v>
      </c>
      <c r="H29" s="58"/>
      <c r="I29" s="23"/>
      <c r="J29" s="24" t="s">
        <v>1713</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1698</v>
      </c>
      <c r="D30" s="13" t="s">
        <v>1699</v>
      </c>
      <c r="E30" s="7"/>
      <c r="F30" s="7" t="s">
        <v>865</v>
      </c>
      <c r="G30" s="7" t="str">
        <f t="shared" si="3"/>
        <v>text</v>
      </c>
      <c r="H30" s="58"/>
      <c r="I30" s="23"/>
      <c r="J30" s="24" t="s">
        <v>1714</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milscm_2023_009.sny_202310_backup_merge_mml_vs_vitalsign.keisoku_position IS '計測時体位';</v>
      </c>
    </row>
    <row r="31" spans="1:45" s="25" customFormat="1" ht="31.5">
      <c r="A31" s="4"/>
      <c r="B31" s="21">
        <f t="shared" si="2"/>
        <v>19</v>
      </c>
      <c r="C31" s="13" t="s">
        <v>1700</v>
      </c>
      <c r="D31" s="13" t="s">
        <v>1701</v>
      </c>
      <c r="E31" s="7"/>
      <c r="F31" s="7" t="s">
        <v>865</v>
      </c>
      <c r="G31" s="7" t="str">
        <f t="shared" si="3"/>
        <v>text</v>
      </c>
      <c r="H31" s="58"/>
      <c r="I31" s="23"/>
      <c r="J31" s="24" t="s">
        <v>1715</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milscm_2023_009.sny_202310_backup_merge_mml_vs_vitalsign.keisoku_method_comment IS '計測方法コメント';</v>
      </c>
    </row>
    <row r="32" spans="1:45" s="25" customFormat="1" ht="19.5" thickBot="1">
      <c r="A32" s="4"/>
      <c r="B32" s="27">
        <f>ROW()-12</f>
        <v>20</v>
      </c>
      <c r="C32" s="57" t="s">
        <v>1702</v>
      </c>
      <c r="D32" s="57" t="s">
        <v>1703</v>
      </c>
      <c r="E32" s="56"/>
      <c r="F32" s="56" t="s">
        <v>865</v>
      </c>
      <c r="G32" s="56" t="str">
        <f t="shared" si="3"/>
        <v>text</v>
      </c>
      <c r="H32" s="59"/>
      <c r="I32" s="60"/>
      <c r="J32" s="64" t="s">
        <v>1716</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ENT_01_C4-38</v>
      </c>
      <c r="E6" s="240"/>
      <c r="F6" s="240"/>
      <c r="G6" s="240"/>
      <c r="H6" s="240"/>
      <c r="I6" s="240"/>
      <c r="J6" s="241"/>
    </row>
    <row r="7" spans="1:45">
      <c r="B7" s="229" t="s">
        <v>115</v>
      </c>
      <c r="C7" s="230"/>
      <c r="D7" s="231" t="s">
        <v>1717</v>
      </c>
      <c r="E7" s="232"/>
      <c r="F7" s="232"/>
      <c r="G7" s="232"/>
      <c r="H7" s="232"/>
      <c r="I7" s="232"/>
      <c r="J7" s="233"/>
    </row>
    <row r="8" spans="1:45">
      <c r="B8" s="229" t="s">
        <v>116</v>
      </c>
      <c r="C8" s="230"/>
      <c r="D8" s="231" t="str">
        <f>エンティティ一覧!AE2&amp;"_"&amp;D5&amp;"_merge_mml_vs_item"</f>
        <v>sny_202310_backup_merge_mml_vs_item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milscm_2023_009.sny_202310_backup_merge_mml_vs_item;</v>
      </c>
      <c r="O10" s="76"/>
      <c r="P10" s="76"/>
      <c r="Q10" s="76"/>
      <c r="R10" s="76"/>
      <c r="S10" s="76"/>
      <c r="T10" s="76"/>
      <c r="AJ10" s="76" t="str">
        <f>"ALTER TABLE ONLY "&amp;エンティティ一覧!$O$2&amp;"."&amp;D$8</f>
        <v>ALTER TABLE ONLY milscm_2023_009.sny_202310_backup_merge_mml_vs_item</v>
      </c>
      <c r="AS10" s="76" t="str">
        <f>"ALTER TABLE "&amp;エンティティ一覧!$O$2&amp;"."&amp;D$8&amp;" OWNER TO pgmisgrp1;"</f>
        <v>ALTER TABLE milscm_2023_009.sny_202310_backup_merge_mml_vs_item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milscm_2023_009.sny_202310_backup_merge_mml_vs_item</v>
      </c>
      <c r="O11" s="76"/>
      <c r="P11" s="76"/>
      <c r="Q11" s="76"/>
      <c r="R11" s="76"/>
      <c r="S11" s="76"/>
      <c r="T11" s="76"/>
      <c r="AJ11" s="76" t="str">
        <f>"ADD CONSTRAINT "&amp;D$8&amp;"_pkey PRIMARY KEY"</f>
        <v>ADD CONSTRAINT sny_202310_backup_merge_mml_vs_item_pkey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1718</v>
      </c>
      <c r="D21" s="13" t="s">
        <v>1719</v>
      </c>
      <c r="E21" s="7" t="s">
        <v>127</v>
      </c>
      <c r="F21" s="7" t="s">
        <v>204</v>
      </c>
      <c r="G21" s="7" t="str">
        <f t="shared" si="3"/>
        <v>integer</v>
      </c>
      <c r="H21" s="58"/>
      <c r="I21" s="23" t="s">
        <v>127</v>
      </c>
      <c r="J21" s="24" t="s">
        <v>1726</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milscm_2023_009.sny_202310_backup_merge_mml_vs_item.item_seq IS '項目SEQ';</v>
      </c>
    </row>
    <row r="22" spans="1:52" s="25" customFormat="1" ht="37.5">
      <c r="A22" s="4"/>
      <c r="B22" s="21">
        <f t="shared" si="2"/>
        <v>10</v>
      </c>
      <c r="C22" s="13" t="s">
        <v>1625</v>
      </c>
      <c r="D22" s="13" t="s">
        <v>1626</v>
      </c>
      <c r="E22" s="7"/>
      <c r="F22" s="7" t="s">
        <v>865</v>
      </c>
      <c r="G22" s="7" t="str">
        <f t="shared" si="3"/>
        <v>text</v>
      </c>
      <c r="H22" s="58"/>
      <c r="I22" s="23"/>
      <c r="J22" s="24" t="s">
        <v>1727</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milscm_2023_009.sny_202310_backup_merge_mml_vs_item.item_name IS '項目名';</v>
      </c>
    </row>
    <row r="23" spans="1:52" s="25" customFormat="1" ht="31.5">
      <c r="A23" s="4"/>
      <c r="B23" s="21">
        <f t="shared" si="2"/>
        <v>11</v>
      </c>
      <c r="C23" s="13" t="s">
        <v>1720</v>
      </c>
      <c r="D23" s="13" t="s">
        <v>1721</v>
      </c>
      <c r="E23" s="7"/>
      <c r="F23" s="7" t="s">
        <v>865</v>
      </c>
      <c r="G23" s="7" t="str">
        <f t="shared" si="3"/>
        <v>text</v>
      </c>
      <c r="H23" s="58"/>
      <c r="I23" s="23"/>
      <c r="J23" s="24" t="s">
        <v>1728</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milscm_2023_009.sny_202310_backup_merge_mml_vs_item.vital_sign_value IS '文字列で表記されるバイタルサインの値';</v>
      </c>
    </row>
    <row r="24" spans="1:52" s="25" customFormat="1">
      <c r="A24" s="4"/>
      <c r="B24" s="21">
        <f t="shared" si="2"/>
        <v>12</v>
      </c>
      <c r="C24" s="13" t="s">
        <v>1722</v>
      </c>
      <c r="D24" s="13" t="s">
        <v>1723</v>
      </c>
      <c r="E24" s="7"/>
      <c r="F24" s="7" t="s">
        <v>865</v>
      </c>
      <c r="G24" s="7" t="str">
        <f t="shared" si="3"/>
        <v>text</v>
      </c>
      <c r="H24" s="58"/>
      <c r="I24" s="23"/>
      <c r="J24" s="24" t="s">
        <v>1729</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milscm_2023_009.sny_202310_backup_merge_mml_vs_item.vital_sign_num_value IS '数値で表記されるバイタルサインの値';</v>
      </c>
    </row>
    <row r="25" spans="1:52" s="25" customFormat="1" ht="38.25" thickBot="1">
      <c r="A25" s="4"/>
      <c r="B25" s="27">
        <f>ROW()-12</f>
        <v>13</v>
      </c>
      <c r="C25" s="57" t="s">
        <v>1724</v>
      </c>
      <c r="D25" s="57" t="s">
        <v>1725</v>
      </c>
      <c r="E25" s="56"/>
      <c r="F25" s="56" t="s">
        <v>865</v>
      </c>
      <c r="G25" s="56" t="str">
        <f t="shared" si="3"/>
        <v>text</v>
      </c>
      <c r="H25" s="59"/>
      <c r="I25" s="60"/>
      <c r="J25" s="64" t="s">
        <v>1730</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ENT_01_C4-40</v>
      </c>
      <c r="E6" s="240"/>
      <c r="F6" s="240"/>
      <c r="G6" s="240"/>
      <c r="H6" s="240"/>
      <c r="I6" s="240"/>
      <c r="J6" s="241"/>
    </row>
    <row r="7" spans="1:45">
      <c r="B7" s="229" t="s">
        <v>115</v>
      </c>
      <c r="C7" s="230"/>
      <c r="D7" s="231" t="s">
        <v>1731</v>
      </c>
      <c r="E7" s="232"/>
      <c r="F7" s="232"/>
      <c r="G7" s="232"/>
      <c r="H7" s="232"/>
      <c r="I7" s="232"/>
      <c r="J7" s="233"/>
    </row>
    <row r="8" spans="1:45">
      <c r="B8" s="229" t="s">
        <v>116</v>
      </c>
      <c r="C8" s="230"/>
      <c r="D8" s="231" t="str">
        <f>エンティティ一覧!AE2&amp;"_"&amp;D5&amp;"_merge_mml_fs_vitalsign"</f>
        <v>sny_202310_backup_merge_mml_fs_vitalsign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milscm_2023_009.sny_202310_backup_merge_mml_fs_vitalsign;</v>
      </c>
      <c r="O10" s="76"/>
      <c r="P10" s="76"/>
      <c r="Q10" s="76"/>
      <c r="R10" s="76"/>
      <c r="S10" s="76"/>
      <c r="T10" s="76"/>
      <c r="AJ10" s="76" t="str">
        <f>"ALTER TABLE ONLY "&amp;エンティティ一覧!$O$2&amp;"."&amp;D$8</f>
        <v>ALTER TABLE ONLY milscm_2023_009.sny_202310_backup_merge_mml_fs_vitalsign</v>
      </c>
      <c r="AS10" s="76" t="str">
        <f>"ALTER TABLE "&amp;エンティティ一覧!$O$2&amp;"."&amp;D$8&amp;" OWNER TO pgmisgrp1;"</f>
        <v>ALTER TABLE milscm_2023_009.sny_202310_backup_merge_mml_fs_vitalsign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milscm_2023_009.sny_202310_backup_merge_mml_fs_vitalsign</v>
      </c>
      <c r="O11" s="76"/>
      <c r="P11" s="76"/>
      <c r="Q11" s="76"/>
      <c r="R11" s="76"/>
      <c r="S11" s="76"/>
      <c r="T11" s="76"/>
      <c r="AJ11" s="76" t="str">
        <f>"ADD CONSTRAINT "&amp;D$8&amp;"_pkey PRIMARY KEY"</f>
        <v>ADD CONSTRAINT sny_202310_backup_merge_mml_fs_vitalsign_pkey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1683</v>
      </c>
      <c r="D22" s="13" t="s">
        <v>1684</v>
      </c>
      <c r="E22" s="7"/>
      <c r="F22" s="7" t="s">
        <v>865</v>
      </c>
      <c r="G22" s="7" t="str">
        <f t="shared" si="3"/>
        <v>text</v>
      </c>
      <c r="H22" s="58"/>
      <c r="I22" s="23"/>
      <c r="J22" s="24" t="s">
        <v>1705</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milscm_2023_009.sny_202310_backup_merge_mml_fs_vitalsign.department_name IS '診療科名';</v>
      </c>
    </row>
    <row r="23" spans="1:45" s="25" customFormat="1" ht="37.5">
      <c r="A23" s="4"/>
      <c r="B23" s="21">
        <f t="shared" si="2"/>
        <v>11</v>
      </c>
      <c r="C23" s="13" t="s">
        <v>603</v>
      </c>
      <c r="D23" s="13" t="s">
        <v>1685</v>
      </c>
      <c r="E23" s="7"/>
      <c r="F23" s="7" t="s">
        <v>865</v>
      </c>
      <c r="G23" s="7" t="str">
        <f t="shared" si="3"/>
        <v>text</v>
      </c>
      <c r="H23" s="58"/>
      <c r="I23" s="23"/>
      <c r="J23" s="24" t="s">
        <v>1706</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1686</v>
      </c>
      <c r="D24" s="13" t="s">
        <v>1687</v>
      </c>
      <c r="E24" s="7"/>
      <c r="F24" s="7" t="s">
        <v>865</v>
      </c>
      <c r="G24" s="7" t="str">
        <f t="shared" si="3"/>
        <v>text</v>
      </c>
      <c r="H24" s="58"/>
      <c r="I24" s="23"/>
      <c r="J24" s="24" t="s">
        <v>1707</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1708</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milscm_2023_009.sny_202310_backup_merge_mml_fs_vitalsign.ward_code IS '病棟コード';</v>
      </c>
    </row>
    <row r="26" spans="1:45" s="25" customFormat="1" ht="37.5">
      <c r="A26" s="4"/>
      <c r="B26" s="21">
        <f t="shared" si="2"/>
        <v>14</v>
      </c>
      <c r="C26" s="13" t="s">
        <v>1688</v>
      </c>
      <c r="D26" s="13" t="s">
        <v>1689</v>
      </c>
      <c r="E26" s="7"/>
      <c r="F26" s="7" t="s">
        <v>865</v>
      </c>
      <c r="G26" s="7" t="str">
        <f t="shared" si="3"/>
        <v>text</v>
      </c>
      <c r="H26" s="58"/>
      <c r="I26" s="23"/>
      <c r="J26" s="24" t="s">
        <v>1709</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1690</v>
      </c>
      <c r="D27" s="13" t="s">
        <v>1691</v>
      </c>
      <c r="E27" s="7"/>
      <c r="F27" s="7" t="s">
        <v>865</v>
      </c>
      <c r="G27" s="7" t="str">
        <f t="shared" si="3"/>
        <v>text</v>
      </c>
      <c r="H27" s="58"/>
      <c r="I27" s="23"/>
      <c r="J27" s="24" t="s">
        <v>1299</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1692</v>
      </c>
      <c r="D28" s="13" t="s">
        <v>1693</v>
      </c>
      <c r="E28" s="7"/>
      <c r="F28" s="7" t="s">
        <v>865</v>
      </c>
      <c r="G28" s="7" t="str">
        <f t="shared" si="3"/>
        <v>text</v>
      </c>
      <c r="H28" s="58"/>
      <c r="I28" s="23"/>
      <c r="J28" s="24" t="s">
        <v>1711</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1694</v>
      </c>
      <c r="D29" s="13" t="s">
        <v>1695</v>
      </c>
      <c r="E29" s="7"/>
      <c r="F29" s="7" t="s">
        <v>865</v>
      </c>
      <c r="G29" s="7" t="str">
        <f t="shared" si="3"/>
        <v>text</v>
      </c>
      <c r="H29" s="58"/>
      <c r="I29" s="23"/>
      <c r="J29" s="24" t="s">
        <v>1712</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1696</v>
      </c>
      <c r="D30" s="13" t="s">
        <v>1697</v>
      </c>
      <c r="E30" s="7"/>
      <c r="F30" s="7" t="s">
        <v>865</v>
      </c>
      <c r="G30" s="7" t="str">
        <f t="shared" si="3"/>
        <v>text</v>
      </c>
      <c r="H30" s="58"/>
      <c r="I30" s="23"/>
      <c r="J30" s="24" t="s">
        <v>1713</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1698</v>
      </c>
      <c r="D31" s="13" t="s">
        <v>1699</v>
      </c>
      <c r="E31" s="7"/>
      <c r="F31" s="7" t="s">
        <v>865</v>
      </c>
      <c r="G31" s="7" t="str">
        <f t="shared" si="3"/>
        <v>text</v>
      </c>
      <c r="H31" s="58"/>
      <c r="I31" s="23"/>
      <c r="J31" s="24" t="s">
        <v>1714</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milscm_2023_009.sny_202310_backup_merge_mml_fs_vitalsign.keisoku_position IS '計測時体位';</v>
      </c>
    </row>
    <row r="32" spans="1:45" s="25" customFormat="1" ht="31.5">
      <c r="A32" s="4"/>
      <c r="B32" s="21">
        <f t="shared" si="2"/>
        <v>20</v>
      </c>
      <c r="C32" s="13" t="s">
        <v>1700</v>
      </c>
      <c r="D32" s="13" t="s">
        <v>1701</v>
      </c>
      <c r="E32" s="7"/>
      <c r="F32" s="7" t="s">
        <v>865</v>
      </c>
      <c r="G32" s="7" t="str">
        <f t="shared" si="3"/>
        <v>text</v>
      </c>
      <c r="H32" s="58"/>
      <c r="I32" s="23"/>
      <c r="J32" s="24" t="s">
        <v>1715</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milscm_2023_009.sny_202310_backup_merge_mml_fs_vitalsign.keisoku_method_comment IS '計測方法コメント';</v>
      </c>
    </row>
    <row r="33" spans="1:52" s="25" customFormat="1" ht="19.5" thickBot="1">
      <c r="A33" s="4"/>
      <c r="B33" s="27">
        <f>ROW()-12</f>
        <v>21</v>
      </c>
      <c r="C33" s="57" t="s">
        <v>1702</v>
      </c>
      <c r="D33" s="57" t="s">
        <v>1703</v>
      </c>
      <c r="E33" s="56"/>
      <c r="F33" s="56" t="s">
        <v>865</v>
      </c>
      <c r="G33" s="56" t="str">
        <f t="shared" si="3"/>
        <v>text</v>
      </c>
      <c r="H33" s="59"/>
      <c r="I33" s="60"/>
      <c r="J33" s="64" t="s">
        <v>1716</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ENT_01_C4-41</v>
      </c>
      <c r="E6" s="240"/>
      <c r="F6" s="240"/>
      <c r="G6" s="240"/>
      <c r="H6" s="240"/>
      <c r="I6" s="240"/>
      <c r="J6" s="241"/>
    </row>
    <row r="7" spans="1:45">
      <c r="B7" s="229" t="s">
        <v>115</v>
      </c>
      <c r="C7" s="230"/>
      <c r="D7" s="231" t="s">
        <v>1735</v>
      </c>
      <c r="E7" s="232"/>
      <c r="F7" s="232"/>
      <c r="G7" s="232"/>
      <c r="H7" s="232"/>
      <c r="I7" s="232"/>
      <c r="J7" s="233"/>
    </row>
    <row r="8" spans="1:45">
      <c r="B8" s="229" t="s">
        <v>116</v>
      </c>
      <c r="C8" s="230"/>
      <c r="D8" s="231" t="str">
        <f>エンティティ一覧!AE2&amp;"_"&amp;D5&amp;"_merge_mml_fs_item"</f>
        <v>sny_202310_backup_merge_mml_fs_item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milscm_2023_009.sny_202310_backup_merge_mml_fs_item;</v>
      </c>
      <c r="O10" s="76"/>
      <c r="P10" s="76"/>
      <c r="Q10" s="76"/>
      <c r="R10" s="76"/>
      <c r="S10" s="76"/>
      <c r="T10" s="76"/>
      <c r="AJ10" s="76" t="str">
        <f>"ALTER TABLE ONLY "&amp;エンティティ一覧!$O$2&amp;"."&amp;D$8</f>
        <v>ALTER TABLE ONLY milscm_2023_009.sny_202310_backup_merge_mml_fs_item</v>
      </c>
      <c r="AS10" s="76" t="str">
        <f>"ALTER TABLE "&amp;エンティティ一覧!$O$2&amp;"."&amp;D$8&amp;" OWNER TO pgmisgrp1;"</f>
        <v>ALTER TABLE milscm_2023_009.sny_202310_backup_merge_mml_fs_item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milscm_2023_009.sny_202310_backup_merge_mml_fs_item</v>
      </c>
      <c r="O11" s="76"/>
      <c r="P11" s="76"/>
      <c r="Q11" s="76"/>
      <c r="R11" s="76"/>
      <c r="S11" s="76"/>
      <c r="T11" s="76"/>
      <c r="AJ11" s="76" t="str">
        <f>"ADD CONSTRAINT "&amp;D$8&amp;"_pkey PRIMARY KEY"</f>
        <v>ADD CONSTRAINT sny_202310_backup_merge_mml_fs_item_pkey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1736</v>
      </c>
      <c r="D22" s="13" t="s">
        <v>1719</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1625</v>
      </c>
      <c r="D23" s="13" t="s">
        <v>1626</v>
      </c>
      <c r="E23" s="7"/>
      <c r="F23" s="7" t="s">
        <v>865</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milscm_2023_009.sny_202310_backup_merge_mml_fs_item.item_name IS '項目名';</v>
      </c>
    </row>
    <row r="24" spans="1:52" s="25" customFormat="1" ht="31.5">
      <c r="A24" s="4"/>
      <c r="B24" s="21">
        <f t="shared" si="2"/>
        <v>12</v>
      </c>
      <c r="C24" s="13" t="s">
        <v>1720</v>
      </c>
      <c r="D24" s="13" t="s">
        <v>1721</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milscm_2023_009.sny_202310_backup_merge_mml_fs_item.vital_sign_value IS '文字列で表記されるバイタルサインの値';</v>
      </c>
    </row>
    <row r="25" spans="1:52" s="25" customFormat="1">
      <c r="A25" s="4"/>
      <c r="B25" s="21">
        <f t="shared" si="2"/>
        <v>13</v>
      </c>
      <c r="C25" s="13" t="s">
        <v>1722</v>
      </c>
      <c r="D25" s="13" t="s">
        <v>1723</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milscm_2023_009.sny_202310_backup_merge_mml_fs_item.vital_sign_num_value IS '数値で表記されるバイタルサインの値';</v>
      </c>
    </row>
    <row r="26" spans="1:52" s="25" customFormat="1" ht="19.5" thickBot="1">
      <c r="A26" s="4"/>
      <c r="B26" s="27">
        <f>ROW()-12</f>
        <v>14</v>
      </c>
      <c r="C26" s="57" t="s">
        <v>1724</v>
      </c>
      <c r="D26" s="57" t="s">
        <v>1725</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ENT_11_01</v>
      </c>
      <c r="E6" s="240"/>
      <c r="F6" s="240"/>
      <c r="G6" s="240"/>
      <c r="H6" s="240"/>
      <c r="I6" s="240"/>
      <c r="J6" s="241"/>
    </row>
    <row r="7" spans="1:45">
      <c r="B7" s="229" t="s">
        <v>115</v>
      </c>
      <c r="C7" s="230"/>
      <c r="D7" s="231" t="s">
        <v>3824</v>
      </c>
      <c r="E7" s="232"/>
      <c r="F7" s="232"/>
      <c r="G7" s="232"/>
      <c r="H7" s="232"/>
      <c r="I7" s="232"/>
      <c r="J7" s="233"/>
    </row>
    <row r="8" spans="1:45">
      <c r="B8" s="229" t="s">
        <v>116</v>
      </c>
      <c r="C8" s="230"/>
      <c r="D8" s="231" t="str">
        <f>エンティティ一覧!AE2&amp;"_"&amp;D5&amp;"_shisetsu"</f>
        <v>sny_202310_enroll_shisetsu</v>
      </c>
      <c r="E8" s="232"/>
      <c r="F8" s="232"/>
      <c r="G8" s="232"/>
      <c r="H8" s="232"/>
      <c r="I8" s="232"/>
      <c r="J8" s="233"/>
    </row>
    <row r="9" spans="1:45" ht="19.5" customHeight="1" thickBot="1">
      <c r="B9" s="234" t="s">
        <v>117</v>
      </c>
      <c r="C9" s="235"/>
      <c r="D9" s="236" t="s">
        <v>3988</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milscm_2023_009.sny_202310_enroll_shisetsu;</v>
      </c>
      <c r="O10" s="76"/>
      <c r="P10" s="76"/>
      <c r="Q10" s="76"/>
      <c r="R10" s="76"/>
      <c r="S10" s="76"/>
      <c r="T10" s="76"/>
      <c r="AJ10" s="76" t="str">
        <f>"ALTER TABLE ONLY "&amp;エンティティ一覧!$O$2&amp;"."&amp;D$8</f>
        <v>ALTER TABLE ONLY milscm_2023_009.sny_202310_enroll_shisetsu</v>
      </c>
      <c r="AS10" s="76" t="str">
        <f>"ALTER TABLE "&amp;エンティティ一覧!$O$2&amp;"."&amp;D$8&amp;" OWNER TO pgmisgrp1;"</f>
        <v>ALTER TABLE milscm_2023_009.sny_202310_enroll_shisetsu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milscm_2023_009.sny_202310_enroll_shisetsu</v>
      </c>
      <c r="O11" s="76"/>
      <c r="P11" s="76"/>
      <c r="Q11" s="76"/>
      <c r="R11" s="76"/>
      <c r="S11" s="76"/>
      <c r="T11" s="76"/>
      <c r="AJ11" s="76" t="str">
        <f>"ADD CONSTRAINT "&amp;D$8&amp;"_pkey PRIMARY KEY"</f>
        <v>ADD CONSTRAINT sny_202310_enroll_shisetsu_pkey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3817</v>
      </c>
      <c r="G13" s="7" t="str">
        <f>IF(F13="フラグ","boolean",IF(F13="文字列","text",IF(F13="整数","integer",IF(F13="実数","numeric",""))))</f>
        <v>text</v>
      </c>
      <c r="H13" s="9"/>
      <c r="I13" s="10" t="s">
        <v>127</v>
      </c>
      <c r="J13" s="24"/>
      <c r="M13" s="4"/>
      <c r="N13" s="76"/>
      <c r="O13" s="76"/>
      <c r="P13" s="76" t="str">
        <f>IF(B13&lt;&gt;1,","&amp;D13,D13)</f>
        <v>facility_id</v>
      </c>
      <c r="Q13" s="76" t="str">
        <f t="shared" ref="Q13:Q18" si="0">UPPER(G13)</f>
        <v>TEXT</v>
      </c>
      <c r="R13" s="76" t="str">
        <f t="shared" ref="R13:R18" si="1">IF(H13&lt;&gt;"","default "&amp;IF(G13="text","'"&amp;H13&amp;"'",H13),"")</f>
        <v/>
      </c>
      <c r="S13" s="76" t="str">
        <f t="shared" ref="S13:S20" si="2">IF(I13="○","NOT NULL","")</f>
        <v>NOT NULL</v>
      </c>
      <c r="T13" s="76" t="str">
        <f t="shared" ref="T13:T20" si="3">"--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milscm_2023_009.sny_202310_enroll_shisetsu.facility_id IS '施設ID';</v>
      </c>
    </row>
    <row r="14" spans="1:45" s="25" customFormat="1">
      <c r="A14" s="4"/>
      <c r="B14" s="21">
        <f>ROW()-12</f>
        <v>2</v>
      </c>
      <c r="C14" s="13" t="s">
        <v>2404</v>
      </c>
      <c r="D14" s="13" t="s">
        <v>2405</v>
      </c>
      <c r="E14" s="7"/>
      <c r="F14" s="7" t="s">
        <v>3818</v>
      </c>
      <c r="G14" s="7" t="str">
        <f>IF(F14="フラグ","boolean",IF(F14="文字列","text",IF(F14="整数","integer",IF(F14="実数","numeric",""))))</f>
        <v>text</v>
      </c>
      <c r="H14" s="9"/>
      <c r="I14" s="10"/>
      <c r="J14" s="24"/>
      <c r="M14" s="4"/>
      <c r="N14" s="76"/>
      <c r="O14" s="76"/>
      <c r="P14" s="76" t="str">
        <f>IF(B14&lt;&gt;1,","&amp;D14,D14)</f>
        <v>,facility_id_mml</v>
      </c>
      <c r="Q14" s="76" t="str">
        <f t="shared" si="0"/>
        <v>TEXT</v>
      </c>
      <c r="R14" s="76" t="str">
        <f t="shared" si="1"/>
        <v/>
      </c>
      <c r="S14" s="76" t="str">
        <f t="shared" si="2"/>
        <v/>
      </c>
      <c r="T14" s="76" t="str">
        <f t="shared" si="3"/>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milscm_2023_009.sny_202310_enroll_shisetsu.facility_id_mml IS '施設ID（MML）';</v>
      </c>
    </row>
    <row r="15" spans="1:45" s="25" customFormat="1">
      <c r="A15" s="4"/>
      <c r="B15" s="21">
        <f t="shared" ref="B15:B20" si="4">ROW()-12</f>
        <v>3</v>
      </c>
      <c r="C15" s="6" t="s">
        <v>3819</v>
      </c>
      <c r="D15" s="6" t="s">
        <v>2407</v>
      </c>
      <c r="E15" s="8"/>
      <c r="F15" s="7" t="s">
        <v>3820</v>
      </c>
      <c r="G15" s="7" t="str">
        <f t="shared" ref="G15" si="5">IF(F15="フラグ","boolean",IF(F15="文字列","text",IF(F15="整数","integer",IF(F15="実数","numeric",""))))</f>
        <v>text</v>
      </c>
      <c r="H15" s="58"/>
      <c r="I15" s="23" t="s">
        <v>127</v>
      </c>
      <c r="J15" s="24"/>
      <c r="M15" s="4"/>
      <c r="N15" s="76"/>
      <c r="O15" s="76"/>
      <c r="P15" s="76" t="str">
        <f t="shared" ref="P15" si="6">IF(B15&lt;&gt;1,","&amp;D15,D15)</f>
        <v>,facility_name</v>
      </c>
      <c r="Q15" s="76" t="str">
        <f t="shared" si="0"/>
        <v>TEXT</v>
      </c>
      <c r="R15" s="76" t="str">
        <f t="shared" si="1"/>
        <v/>
      </c>
      <c r="S15" s="76" t="str">
        <f t="shared" si="2"/>
        <v>NOT NULL</v>
      </c>
      <c r="T15" s="76" t="str">
        <f t="shared" si="3"/>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milscm_2023_009.sny_202310_enroll_shisetsu.facility_name IS '施設名';</v>
      </c>
    </row>
    <row r="16" spans="1:45" s="25" customFormat="1">
      <c r="A16" s="4"/>
      <c r="B16" s="21">
        <f>ROW()-12</f>
        <v>4</v>
      </c>
      <c r="C16" s="13" t="s">
        <v>3821</v>
      </c>
      <c r="D16" s="13" t="s">
        <v>2413</v>
      </c>
      <c r="E16" s="7"/>
      <c r="F16" s="7" t="s">
        <v>3818</v>
      </c>
      <c r="G16" s="7" t="str">
        <f>IF(F16="フラグ","boolean",IF(F16="文字列","text",IF(F16="整数","integer",IF(F16="実数","numeric",""))))</f>
        <v>text</v>
      </c>
      <c r="H16" s="9"/>
      <c r="I16" s="10"/>
      <c r="J16" s="24"/>
      <c r="M16" s="4"/>
      <c r="N16" s="76"/>
      <c r="O16" s="76"/>
      <c r="P16" s="76" t="str">
        <f>IF(B16&lt;&gt;1,","&amp;D16,D16)</f>
        <v>,facility_contract_start</v>
      </c>
      <c r="Q16" s="76" t="str">
        <f t="shared" ref="Q16" si="7">UPPER(G16)</f>
        <v>TEXT</v>
      </c>
      <c r="R16" s="76" t="str">
        <f t="shared" ref="R16" si="8">IF(H16&lt;&gt;"","default "&amp;IF(G16="text","'"&amp;H16&amp;"'",H16),"")</f>
        <v/>
      </c>
      <c r="S16" s="76" t="str">
        <f t="shared" si="2"/>
        <v/>
      </c>
      <c r="T16" s="76" t="str">
        <f t="shared" si="3"/>
        <v>-- 施設データ提供開始日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3822</v>
      </c>
      <c r="D17" s="6" t="s">
        <v>2415</v>
      </c>
      <c r="E17" s="8"/>
      <c r="F17" s="7" t="s">
        <v>3818</v>
      </c>
      <c r="G17" s="7" t="str">
        <f t="shared" ref="G17" si="9">IF(F17="フラグ","boolean",IF(F17="文字列","text",IF(F17="整数","integer",IF(F17="実数","numeric",""))))</f>
        <v>text</v>
      </c>
      <c r="H17" s="58"/>
      <c r="I17" s="23"/>
      <c r="J17" s="24"/>
      <c r="M17" s="4"/>
      <c r="N17" s="76"/>
      <c r="O17" s="76"/>
      <c r="P17" s="76" t="str">
        <f t="shared" ref="P17" si="10">IF(B17&lt;&gt;1,","&amp;D17,D17)</f>
        <v>,facility_contract_end</v>
      </c>
      <c r="Q17" s="76" t="str">
        <f t="shared" si="0"/>
        <v>TEXT</v>
      </c>
      <c r="R17" s="76" t="str">
        <f t="shared" si="1"/>
        <v/>
      </c>
      <c r="S17" s="76" t="str">
        <f t="shared" si="2"/>
        <v/>
      </c>
      <c r="T17" s="76" t="str">
        <f t="shared" si="3"/>
        <v>-- 施設データ提供終了日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milscm_2023_009.sny_202310_enroll_shisetsu.facility_contract_end IS '施設データ提供終了日';</v>
      </c>
    </row>
    <row r="18" spans="1:52" s="25" customFormat="1">
      <c r="A18" s="4"/>
      <c r="B18" s="21">
        <f>ROW()-12</f>
        <v>6</v>
      </c>
      <c r="C18" s="13" t="s">
        <v>3823</v>
      </c>
      <c r="D18" s="13" t="s">
        <v>2417</v>
      </c>
      <c r="E18" s="7"/>
      <c r="F18" s="7" t="s">
        <v>204</v>
      </c>
      <c r="G18" s="7" t="str">
        <f>IF(F18="フラグ","boolean",IF(F18="文字列","text",IF(F18="整数","integer",IF(F18="実数","numeric",""))))</f>
        <v>integer</v>
      </c>
      <c r="H18" s="9"/>
      <c r="I18" s="10"/>
      <c r="J18" s="24"/>
      <c r="M18" s="4"/>
      <c r="N18" s="76"/>
      <c r="O18" s="76"/>
      <c r="P18" s="76" t="str">
        <f>IF(B18&lt;&gt;1,","&amp;D18,D18)</f>
        <v>,size</v>
      </c>
      <c r="Q18" s="76" t="str">
        <f t="shared" si="0"/>
        <v>INTEGER</v>
      </c>
      <c r="R18" s="76" t="str">
        <f t="shared" si="1"/>
        <v/>
      </c>
      <c r="S18" s="76" t="str">
        <f t="shared" ref="S18:S19" si="11">IF(I18="○","NOT NULL","")</f>
        <v/>
      </c>
      <c r="T18" s="76" t="str">
        <f t="shared" ref="T18:T19" si="12">"-- "&amp;C18</f>
        <v>-- 施設規模</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milscm_2023_009.sny_202310_enroll_shisetsu.size IS '施設規模';</v>
      </c>
    </row>
    <row r="19" spans="1:52" s="25" customFormat="1">
      <c r="A19" s="4"/>
      <c r="B19" s="21">
        <f t="shared" si="4"/>
        <v>7</v>
      </c>
      <c r="C19" s="6" t="s">
        <v>4065</v>
      </c>
      <c r="D19" s="6" t="s">
        <v>4019</v>
      </c>
      <c r="E19" s="8"/>
      <c r="F19" s="7" t="s">
        <v>3818</v>
      </c>
      <c r="G19" s="7" t="str">
        <f t="shared" ref="G19" si="13">IF(F19="フラグ","boolean",IF(F19="文字列","text",IF(F19="整数","integer",IF(F19="実数","numeric",""))))</f>
        <v>text</v>
      </c>
      <c r="H19" s="58"/>
      <c r="I19" s="23"/>
      <c r="J19" s="24" t="s">
        <v>4064</v>
      </c>
      <c r="M19" s="4"/>
      <c r="N19" s="76"/>
      <c r="O19" s="76"/>
      <c r="P19" s="76" t="str">
        <f t="shared" ref="P19" si="14">IF(B19&lt;&gt;1,","&amp;D19,D19)</f>
        <v>,usage_start</v>
      </c>
      <c r="Q19" s="76" t="str">
        <f t="shared" ref="Q19" si="15">UPPER(G19)</f>
        <v>TEXT</v>
      </c>
      <c r="R19" s="76" t="str">
        <f t="shared" ref="R19" si="16">IF(H19&lt;&gt;"","default "&amp;IF(G19="text","'"&amp;H19&amp;"'",H19),"")</f>
        <v/>
      </c>
      <c r="S19" s="76" t="str">
        <f t="shared" si="11"/>
        <v/>
      </c>
      <c r="T19" s="76" t="str">
        <f t="shared" si="12"/>
        <v>-- データ利用開始年月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milscm_2023_009.sny_202310_enroll_shisetsu.usage_start IS 'データ利用開始年月';</v>
      </c>
    </row>
    <row r="20" spans="1:52" s="25" customFormat="1" ht="19.5" thickBot="1">
      <c r="A20" s="4"/>
      <c r="B20" s="70">
        <f t="shared" si="4"/>
        <v>8</v>
      </c>
      <c r="C20" s="71" t="s">
        <v>4066</v>
      </c>
      <c r="D20" s="71" t="s">
        <v>4020</v>
      </c>
      <c r="E20" s="74"/>
      <c r="F20" s="72" t="s">
        <v>3818</v>
      </c>
      <c r="G20" s="72" t="str">
        <f t="shared" ref="G20" si="17">IF(F20="フラグ","boolean",IF(F20="文字列","text",IF(F20="整数","integer",IF(F20="実数","numeric",""))))</f>
        <v>text</v>
      </c>
      <c r="H20" s="73"/>
      <c r="I20" s="74"/>
      <c r="J20" s="75" t="s">
        <v>4064</v>
      </c>
      <c r="M20" s="4"/>
      <c r="N20" s="76"/>
      <c r="O20" s="76"/>
      <c r="P20" s="76" t="str">
        <f t="shared" ref="P20" si="18">IF(B20&lt;&gt;1,","&amp;D20,D20)</f>
        <v>,usage_end</v>
      </c>
      <c r="Q20" s="76" t="str">
        <f t="shared" ref="Q20" si="19">UPPER(G20)</f>
        <v>TEXT</v>
      </c>
      <c r="R20" s="76" t="str">
        <f t="shared" ref="R20" si="20">IF(H20&lt;&gt;"","default "&amp;IF(G20="text","'"&amp;H20&amp;"'",H20),"")</f>
        <v/>
      </c>
      <c r="S20" s="76" t="str">
        <f t="shared" si="2"/>
        <v/>
      </c>
      <c r="T20" s="76" t="str">
        <f t="shared" si="3"/>
        <v>-- データ利用終了年月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milscm_2023_009.sny_202310_enroll_shisetsu.usage_end IS 'データ利用終了年月';</v>
      </c>
    </row>
    <row r="21" spans="1:52">
      <c r="L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ENT_11_02</v>
      </c>
      <c r="E6" s="240"/>
      <c r="F6" s="240"/>
      <c r="G6" s="240"/>
      <c r="H6" s="240"/>
      <c r="I6" s="240"/>
      <c r="J6" s="241"/>
    </row>
    <row r="7" spans="1:45">
      <c r="B7" s="229" t="s">
        <v>115</v>
      </c>
      <c r="C7" s="230"/>
      <c r="D7" s="231" t="s">
        <v>3827</v>
      </c>
      <c r="E7" s="232"/>
      <c r="F7" s="232"/>
      <c r="G7" s="232"/>
      <c r="H7" s="232"/>
      <c r="I7" s="232"/>
      <c r="J7" s="233"/>
    </row>
    <row r="8" spans="1:45">
      <c r="B8" s="229" t="s">
        <v>116</v>
      </c>
      <c r="C8" s="230"/>
      <c r="D8" s="231" t="str">
        <f>エンティティ一覧!AE2&amp;"_"&amp;D5&amp;"_shikkan"</f>
        <v>sny_202310_enroll_shikkan</v>
      </c>
      <c r="E8" s="232"/>
      <c r="F8" s="232"/>
      <c r="G8" s="232"/>
      <c r="H8" s="232"/>
      <c r="I8" s="232"/>
      <c r="J8" s="233"/>
    </row>
    <row r="9" spans="1:45" ht="19.5" customHeight="1" thickBot="1">
      <c r="B9" s="234" t="s">
        <v>117</v>
      </c>
      <c r="C9" s="235"/>
      <c r="D9" s="236" t="s">
        <v>3991</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milscm_2023_009.sny_202310_enroll_shikkan;</v>
      </c>
      <c r="O10" s="76"/>
      <c r="P10" s="76"/>
      <c r="Q10" s="76"/>
      <c r="R10" s="76"/>
      <c r="S10" s="76"/>
      <c r="T10" s="76"/>
      <c r="AJ10" s="76" t="str">
        <f>"ALTER TABLE ONLY "&amp;エンティティ一覧!$O$2&amp;"."&amp;D$8</f>
        <v>ALTER TABLE ONLY milscm_2023_009.sny_202310_enroll_shikkan</v>
      </c>
      <c r="AS10" s="76" t="str">
        <f>"ALTER TABLE "&amp;エンティティ一覧!$O$2&amp;"."&amp;D$8&amp;" OWNER TO pgmisgrp1;"</f>
        <v>ALTER TABLE milscm_2023_009.sny_202310_enroll_shikkan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milscm_2023_009.sny_202310_enroll_shikkan</v>
      </c>
      <c r="O11" s="76"/>
      <c r="P11" s="76"/>
      <c r="Q11" s="76"/>
      <c r="R11" s="76"/>
      <c r="S11" s="76"/>
      <c r="T11" s="76"/>
      <c r="AJ11" s="76" t="str">
        <f>"ADD CONSTRAINT "&amp;D$8&amp;"_pkey PRIMARY KEY"</f>
        <v>ADD CONSTRAINT sny_202310_enroll_shikkan_pkey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milscm_2023_009.sny_202310_enroll_shikkan.facility_id IS '施設ID';</v>
      </c>
    </row>
    <row r="14" spans="1:45" s="25" customFormat="1">
      <c r="A14" s="4"/>
      <c r="B14" s="21">
        <f>ROW()-12</f>
        <v>2</v>
      </c>
      <c r="C14" s="13" t="s">
        <v>2790</v>
      </c>
      <c r="D14" s="13" t="s">
        <v>1248</v>
      </c>
      <c r="E14" s="7" t="s">
        <v>127</v>
      </c>
      <c r="F14" s="7" t="s">
        <v>737</v>
      </c>
      <c r="G14" s="7" t="str">
        <f>IF(F14="フラグ","boolean",IF(F14="文字列","text",IF(F14="整数","integer",IF(F14="実数","numeric",""))))</f>
        <v>text</v>
      </c>
      <c r="H14" s="9"/>
      <c r="I14" s="10" t="s">
        <v>127</v>
      </c>
      <c r="J14" s="24"/>
      <c r="M14" s="4"/>
      <c r="N14" s="76"/>
      <c r="O14" s="76"/>
      <c r="P14" s="76" t="str">
        <f>IF(B14&lt;&gt;1,","&amp;D14,D14)</f>
        <v>,master_id</v>
      </c>
      <c r="Q14" s="76" t="str">
        <f t="shared" ref="Q14" si="2">UPPER(G14)</f>
        <v>TEXT</v>
      </c>
      <c r="R14" s="76" t="str">
        <f t="shared" ref="R14" si="3">IF(H14&lt;&gt;"","default "&amp;IF(G14="text","'"&amp;H14&amp;"'",H14),"")</f>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milscm_2023_009.sny_202310_enroll_shikkan.master_id IS '患者ID';</v>
      </c>
    </row>
    <row r="15" spans="1:45" s="25" customFormat="1">
      <c r="A15" s="4"/>
      <c r="B15" s="21">
        <f>ROW()-12</f>
        <v>3</v>
      </c>
      <c r="C15" s="13" t="s">
        <v>1323</v>
      </c>
      <c r="D15" s="13" t="s">
        <v>1324</v>
      </c>
      <c r="E15" s="7" t="s">
        <v>127</v>
      </c>
      <c r="F15" s="7" t="s">
        <v>737</v>
      </c>
      <c r="G15" s="7" t="str">
        <f>IF(F15="フラグ","boolean",IF(F15="文字列","text",IF(F15="整数","integer",IF(F15="実数","numeric",""))))</f>
        <v>text</v>
      </c>
      <c r="H15" s="9"/>
      <c r="I15" s="10" t="s">
        <v>127</v>
      </c>
      <c r="J15" s="24"/>
      <c r="M15" s="4"/>
      <c r="N15" s="76"/>
      <c r="O15" s="76"/>
      <c r="P15" s="76" t="str">
        <f>IF(B15&lt;&gt;1,","&amp;D15,D15)</f>
        <v>,byomei</v>
      </c>
      <c r="Q15" s="76" t="str">
        <f t="shared" ref="Q15" si="4">UPPER(G15)</f>
        <v>TEXT</v>
      </c>
      <c r="R15" s="76" t="str">
        <f t="shared" ref="R15" si="5">IF(H15&lt;&gt;"","default "&amp;IF(G15="text","'"&amp;H15&amp;"'",H15),"")</f>
        <v/>
      </c>
      <c r="S15" s="76" t="str">
        <f>IF(I15="○","NOT NULL","")</f>
        <v>NOT NULL</v>
      </c>
      <c r="T15" s="76" t="str">
        <f>"--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milscm_2023_009.sny_202310_enroll_shikkan.byomei IS '病名';</v>
      </c>
    </row>
    <row r="16" spans="1:45" s="25" customFormat="1" ht="19.5" thickBot="1">
      <c r="A16" s="4"/>
      <c r="B16" s="66">
        <f t="shared" ref="B16" si="6">ROW()-12</f>
        <v>4</v>
      </c>
      <c r="C16" s="28" t="s">
        <v>3828</v>
      </c>
      <c r="D16" s="28" t="s">
        <v>1326</v>
      </c>
      <c r="E16" s="29" t="s">
        <v>127</v>
      </c>
      <c r="F16" s="56" t="s">
        <v>737</v>
      </c>
      <c r="G16" s="56" t="str">
        <f t="shared" ref="G16" si="7">IF(F16="フラグ","boolean",IF(F16="文字列","text",IF(F16="整数","integer",IF(F16="実数","numeric",""))))</f>
        <v>text</v>
      </c>
      <c r="H16" s="59"/>
      <c r="I16" s="60" t="s">
        <v>127</v>
      </c>
      <c r="J16" s="61"/>
      <c r="M16" s="4"/>
      <c r="N16" s="76"/>
      <c r="O16" s="76"/>
      <c r="P16" s="76" t="str">
        <f t="shared" ref="P16" si="8">IF(B16&lt;&gt;1,","&amp;D16,D16)</f>
        <v>,byomei_code</v>
      </c>
      <c r="Q16" s="76" t="str">
        <f t="shared" si="0"/>
        <v>TEXT</v>
      </c>
      <c r="R16" s="76" t="str">
        <f t="shared" si="1"/>
        <v/>
      </c>
      <c r="S16" s="76" t="str">
        <f>IF(I16="○","NOT NULL","")</f>
        <v>NOT NULL</v>
      </c>
      <c r="T16" s="76" t="str">
        <f>"-- "&amp;C16</f>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milscm_2023_009.sny_202310_enroll_shikkan.byomei_code IS '病名コード値';</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ENT_11_03</v>
      </c>
      <c r="E6" s="240"/>
      <c r="F6" s="240"/>
      <c r="G6" s="240"/>
      <c r="H6" s="240"/>
      <c r="I6" s="240"/>
      <c r="J6" s="241"/>
    </row>
    <row r="7" spans="1:45">
      <c r="B7" s="229" t="s">
        <v>115</v>
      </c>
      <c r="C7" s="230"/>
      <c r="D7" s="231" t="s">
        <v>3829</v>
      </c>
      <c r="E7" s="232"/>
      <c r="F7" s="232"/>
      <c r="G7" s="232"/>
      <c r="H7" s="232"/>
      <c r="I7" s="232"/>
      <c r="J7" s="233"/>
    </row>
    <row r="8" spans="1:45">
      <c r="B8" s="229" t="s">
        <v>116</v>
      </c>
      <c r="C8" s="230"/>
      <c r="D8" s="231" t="str">
        <f>エンティティ一覧!AE2&amp;"_"&amp;D5&amp;"_shinryou_koui"</f>
        <v>sny_202310_enroll_shinryou_koui</v>
      </c>
      <c r="E8" s="232"/>
      <c r="F8" s="232"/>
      <c r="G8" s="232"/>
      <c r="H8" s="232"/>
      <c r="I8" s="232"/>
      <c r="J8" s="233"/>
    </row>
    <row r="9" spans="1:45" ht="19.5" customHeight="1" thickBot="1">
      <c r="B9" s="234" t="s">
        <v>117</v>
      </c>
      <c r="C9" s="235"/>
      <c r="D9" s="236" t="s">
        <v>3992</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milscm_2023_009.sny_202310_enroll_shinryou_koui;</v>
      </c>
      <c r="O10" s="76"/>
      <c r="P10" s="76"/>
      <c r="Q10" s="76"/>
      <c r="R10" s="76"/>
      <c r="S10" s="76"/>
      <c r="T10" s="76"/>
      <c r="AJ10" s="76" t="str">
        <f>"ALTER TABLE ONLY "&amp;エンティティ一覧!$O$2&amp;"."&amp;D$8</f>
        <v>ALTER TABLE ONLY milscm_2023_009.sny_202310_enroll_shinryou_koui</v>
      </c>
      <c r="AS10" s="76" t="str">
        <f>"ALTER TABLE "&amp;エンティティ一覧!$O$2&amp;"."&amp;D$8&amp;" OWNER TO pgmisgrp1;"</f>
        <v>ALTER TABLE milscm_2023_009.sny_202310_enroll_shinryou_koui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milscm_2023_009.sny_202310_enroll_shinryou_koui</v>
      </c>
      <c r="O11" s="76"/>
      <c r="P11" s="76"/>
      <c r="Q11" s="76"/>
      <c r="R11" s="76"/>
      <c r="S11" s="76"/>
      <c r="T11" s="76"/>
      <c r="AJ11" s="76" t="str">
        <f>"ADD CONSTRAINT "&amp;D$8&amp;"_pkey PRIMARY KEY"</f>
        <v>ADD CONSTRAINT sny_202310_enroll_shinryou_koui_pkey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milscm_2023_009.sny_202310_enroll_shinryou_koui.facility_id IS '施設ID';</v>
      </c>
    </row>
    <row r="14" spans="1:45" s="25" customFormat="1">
      <c r="A14" s="4"/>
      <c r="B14" s="21">
        <f>ROW()-12</f>
        <v>2</v>
      </c>
      <c r="C14" s="13" t="s">
        <v>1738</v>
      </c>
      <c r="D14" s="13" t="s">
        <v>210</v>
      </c>
      <c r="E14" s="7" t="s">
        <v>127</v>
      </c>
      <c r="F14" s="7" t="s">
        <v>737</v>
      </c>
      <c r="G14" s="7" t="str">
        <f>IF(F14="フラグ","boolean",IF(F14="文字列","text",IF(F14="整数","integer",IF(F14="実数","numeric",""))))</f>
        <v>text</v>
      </c>
      <c r="H14" s="9"/>
      <c r="I14" s="10" t="s">
        <v>127</v>
      </c>
      <c r="J14" s="24"/>
      <c r="M14" s="4"/>
      <c r="N14" s="76"/>
      <c r="O14" s="76"/>
      <c r="P14" s="76" t="str">
        <f>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737</v>
      </c>
      <c r="G15" s="7" t="str">
        <f>IF(F15="フラグ","boolean",IF(F15="文字列","text",IF(F15="整数","integer",IF(F15="実数","numeric",""))))</f>
        <v>text</v>
      </c>
      <c r="H15" s="9"/>
      <c r="I15" s="10" t="s">
        <v>127</v>
      </c>
      <c r="J15" s="24"/>
      <c r="M15" s="4"/>
      <c r="N15" s="76"/>
      <c r="O15" s="76"/>
      <c r="P15" s="76" t="str">
        <f>IF(B15&lt;&gt;1,","&amp;D15,D15)</f>
        <v>,receipt_densan_code</v>
      </c>
      <c r="Q15" s="76" t="str">
        <f t="shared" si="0"/>
        <v>TEXT</v>
      </c>
      <c r="R15" s="76" t="str">
        <f t="shared" si="1"/>
        <v/>
      </c>
      <c r="S15" s="76" t="str">
        <f>IF(I15="○","NOT NULL","")</f>
        <v>NOT NULL</v>
      </c>
      <c r="T15" s="76" t="str">
        <f>"-- "&amp;C15</f>
        <v>-- レセプト電算処理システム用コード</v>
      </c>
      <c r="U15" s="4"/>
      <c r="AA15" s="4"/>
      <c r="AB15" s="4"/>
      <c r="AC15" s="4"/>
      <c r="AD15" s="4"/>
      <c r="AE15" s="4"/>
      <c r="AF15" s="4"/>
      <c r="AG15" s="4"/>
      <c r="AH15" s="4"/>
      <c r="AI15" s="4"/>
      <c r="AJ15" s="76" t="str">
        <f>IF(E15="○",IF(COUNTA(E$13:E15)=1,"",",")&amp;D15,"")</f>
        <v>,receipt_densan_code</v>
      </c>
      <c r="AK15" s="4"/>
      <c r="AL15" s="4"/>
      <c r="AM15" s="4"/>
      <c r="AN15" s="4"/>
      <c r="AO15" s="4"/>
      <c r="AP15" s="4"/>
      <c r="AQ15" s="4"/>
      <c r="AR15" s="4"/>
      <c r="AS15" s="76" t="str">
        <f>"COMMENT ON COLUMN "&amp;エンティティ一覧!$O$2&amp;"."&amp;D$8&amp;"."&amp;D15&amp;" IS '"&amp;C15&amp;"';"</f>
        <v>COMMENT ON COLUMN milscm_2023_009.sny_202310_enroll_shinryou_koui.receipt_densan_code IS 'レセプト電算処理システム用コード';</v>
      </c>
    </row>
    <row r="16" spans="1:45" s="25" customFormat="1" ht="19.5" thickBot="1">
      <c r="A16" s="4"/>
      <c r="B16" s="66">
        <f t="shared" ref="B16" si="2">ROW()-12</f>
        <v>4</v>
      </c>
      <c r="C16" s="28" t="s">
        <v>149</v>
      </c>
      <c r="D16" s="28" t="s">
        <v>155</v>
      </c>
      <c r="E16" s="29" t="s">
        <v>127</v>
      </c>
      <c r="F16" s="56" t="s">
        <v>737</v>
      </c>
      <c r="G16" s="56" t="str">
        <f t="shared" ref="G16" si="3">IF(F16="フラグ","boolean",IF(F16="文字列","text",IF(F16="整数","integer",IF(F16="実数","numeric",""))))</f>
        <v>text</v>
      </c>
      <c r="H16" s="59"/>
      <c r="I16" s="60" t="s">
        <v>127</v>
      </c>
      <c r="J16" s="61"/>
      <c r="M16" s="4"/>
      <c r="N16" s="76"/>
      <c r="O16" s="76"/>
      <c r="P16" s="76" t="str">
        <f t="shared" ref="P16" si="4">IF(B16&lt;&gt;1,","&amp;D16,D16)</f>
        <v>,jisshi_ymd</v>
      </c>
      <c r="Q16" s="76" t="str">
        <f t="shared" si="0"/>
        <v>TEXT</v>
      </c>
      <c r="R16" s="76" t="str">
        <f t="shared" si="1"/>
        <v/>
      </c>
      <c r="S16" s="76" t="str">
        <f>IF(I16="○","NOT NULL","")</f>
        <v>NOT NULL</v>
      </c>
      <c r="T16" s="76" t="str">
        <f>"-- "&amp;C16</f>
        <v>-- 実施年月日</v>
      </c>
      <c r="U16" s="4"/>
      <c r="AA16" s="4"/>
      <c r="AB16" s="4"/>
      <c r="AC16" s="4"/>
      <c r="AD16" s="4"/>
      <c r="AE16" s="4"/>
      <c r="AF16" s="4"/>
      <c r="AG16" s="4"/>
      <c r="AH16" s="4"/>
      <c r="AI16" s="4"/>
      <c r="AJ16" s="76" t="str">
        <f>IF(E16="○",IF(COUNTA(E$13:E16)=1,"",",")&amp;D16,"")</f>
        <v>,jisshi_ymd</v>
      </c>
      <c r="AK16" s="4"/>
      <c r="AL16" s="4"/>
      <c r="AM16" s="4"/>
      <c r="AN16" s="4"/>
      <c r="AO16" s="4"/>
      <c r="AP16" s="4"/>
      <c r="AQ16" s="4"/>
      <c r="AR16" s="4"/>
      <c r="AS16" s="76" t="str">
        <f>"COMMENT ON COLUMN "&amp;エンティティ一覧!$O$2&amp;"."&amp;D$8&amp;"."&amp;D16&amp;" IS '"&amp;C16&amp;"';"</f>
        <v>COMMENT ON COLUMN milscm_2023_009.sny_202310_enroll_shinryou_koui.jisshi_ymd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ENT_11_04</v>
      </c>
      <c r="E6" s="240"/>
      <c r="F6" s="240"/>
      <c r="G6" s="240"/>
      <c r="H6" s="240"/>
      <c r="I6" s="240"/>
      <c r="J6" s="241"/>
    </row>
    <row r="7" spans="1:45">
      <c r="B7" s="229" t="s">
        <v>115</v>
      </c>
      <c r="C7" s="230"/>
      <c r="D7" s="231" t="s">
        <v>3831</v>
      </c>
      <c r="E7" s="232"/>
      <c r="F7" s="232"/>
      <c r="G7" s="232"/>
      <c r="H7" s="232"/>
      <c r="I7" s="232"/>
      <c r="J7" s="233"/>
    </row>
    <row r="8" spans="1:45">
      <c r="B8" s="229" t="s">
        <v>116</v>
      </c>
      <c r="C8" s="230"/>
      <c r="D8" s="231" t="str">
        <f>エンティティ一覧!AE2&amp;"_"&amp;D5&amp;"_mt_kensa"</f>
        <v>sny_202310_enroll_mt_kensa</v>
      </c>
      <c r="E8" s="232"/>
      <c r="F8" s="232"/>
      <c r="G8" s="232"/>
      <c r="H8" s="232"/>
      <c r="I8" s="232"/>
      <c r="J8" s="233"/>
    </row>
    <row r="9" spans="1:45" ht="19.5" customHeight="1" thickBot="1">
      <c r="B9" s="234" t="s">
        <v>117</v>
      </c>
      <c r="C9" s="235"/>
      <c r="D9" s="236" t="s">
        <v>3989</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milscm_2023_009.sny_202310_enroll_mt_kensa;</v>
      </c>
      <c r="O10" s="76"/>
      <c r="P10" s="76"/>
      <c r="Q10" s="76"/>
      <c r="R10" s="76"/>
      <c r="S10" s="76"/>
      <c r="T10" s="76"/>
      <c r="AJ10" s="76" t="str">
        <f>"ALTER TABLE ONLY "&amp;エンティティ一覧!$O$2&amp;"."&amp;D$8</f>
        <v>ALTER TABLE ONLY milscm_2023_009.sny_202310_enroll_mt_kensa</v>
      </c>
      <c r="AS10" s="76" t="str">
        <f>"ALTER TABLE "&amp;エンティティ一覧!$O$2&amp;"."&amp;D$8&amp;" OWNER TO pgmisgrp1;"</f>
        <v>ALTER TABLE milscm_2023_009.sny_202310_enroll_mt_kensa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milscm_2023_009.sny_202310_enroll_mt_kensa</v>
      </c>
      <c r="O11" s="76"/>
      <c r="P11" s="76"/>
      <c r="Q11" s="76"/>
      <c r="R11" s="76"/>
      <c r="S11" s="76"/>
      <c r="T11" s="76"/>
      <c r="AJ11" s="76" t="str">
        <f>"ADD CONSTRAINT "&amp;D$8&amp;"_pkey PRIMARY KEY"</f>
        <v>ADD CONSTRAINT sny_202310_enroll_mt_kensa_pkey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3833</v>
      </c>
      <c r="D13" s="6" t="s">
        <v>883</v>
      </c>
      <c r="E13" s="8" t="s">
        <v>127</v>
      </c>
      <c r="F13" s="8" t="s">
        <v>3820</v>
      </c>
      <c r="G13" s="7" t="str">
        <f t="shared" ref="G13:G21" si="1">IF(F13="フラグ","boolean",IF(F13="文字列","text",IF(F13="整数","integer",IF(F13="実数","numeric",""))))</f>
        <v>text</v>
      </c>
      <c r="H13" s="67"/>
      <c r="I13" s="8" t="s">
        <v>127</v>
      </c>
      <c r="J13" s="11"/>
      <c r="M13" s="4"/>
      <c r="N13" s="76"/>
      <c r="O13" s="76"/>
      <c r="P13" s="76" t="str">
        <f t="shared" ref="P13:P21" si="2">IF(B13&lt;&gt;1,","&amp;D13,D13)</f>
        <v>facility_id</v>
      </c>
      <c r="Q13" s="76" t="str">
        <f t="shared" ref="Q13:Q21" si="3">UPPER(G13)</f>
        <v>TEXT</v>
      </c>
      <c r="R13" s="76" t="str">
        <f t="shared" ref="R13:R21"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milscm_2023_009.sny_202310_enroll_mt_kensa.facility_id IS '施設ID';</v>
      </c>
    </row>
    <row r="14" spans="1:45" s="25" customFormat="1">
      <c r="A14" s="4"/>
      <c r="B14" s="21">
        <f t="shared" si="0"/>
        <v>2</v>
      </c>
      <c r="C14" s="98" t="s">
        <v>1608</v>
      </c>
      <c r="D14" s="98" t="s">
        <v>1609</v>
      </c>
      <c r="E14" s="99" t="s">
        <v>127</v>
      </c>
      <c r="F14" s="99" t="s">
        <v>3820</v>
      </c>
      <c r="G14" s="7" t="str">
        <f t="shared" si="1"/>
        <v>text</v>
      </c>
      <c r="H14" s="67"/>
      <c r="I14" s="8" t="s">
        <v>127</v>
      </c>
      <c r="J14" s="11"/>
      <c r="M14" s="4"/>
      <c r="N14" s="76"/>
      <c r="O14" s="76"/>
      <c r="P14" s="76" t="str">
        <f t="shared" si="2"/>
        <v>,specimen_name</v>
      </c>
      <c r="Q14" s="76" t="str">
        <f t="shared" si="3"/>
        <v>TEXT</v>
      </c>
      <c r="R14" s="76" t="str">
        <f t="shared" si="4"/>
        <v/>
      </c>
      <c r="S14" s="76" t="str">
        <f>IF(I14="○","NOT NULL","")</f>
        <v>NOT NULL</v>
      </c>
      <c r="T14" s="76" t="str">
        <f>"--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milscm_2023_009.sny_202310_enroll_mt_kensa.specimen_name IS '検体材料';</v>
      </c>
    </row>
    <row r="15" spans="1:45" s="25" customFormat="1">
      <c r="A15" s="4"/>
      <c r="B15" s="21">
        <f t="shared" si="0"/>
        <v>3</v>
      </c>
      <c r="C15" s="98" t="s">
        <v>1610</v>
      </c>
      <c r="D15" s="98" t="s">
        <v>1611</v>
      </c>
      <c r="E15" s="99" t="s">
        <v>127</v>
      </c>
      <c r="F15" s="99" t="s">
        <v>3820</v>
      </c>
      <c r="G15" s="7" t="str">
        <f t="shared" si="1"/>
        <v>text</v>
      </c>
      <c r="H15" s="67"/>
      <c r="I15" s="8" t="s">
        <v>127</v>
      </c>
      <c r="J15" s="11"/>
      <c r="N15" s="76"/>
      <c r="O15" s="76"/>
      <c r="P15" s="76" t="str">
        <f t="shared" si="2"/>
        <v>,sp_code</v>
      </c>
      <c r="Q15" s="76" t="str">
        <f t="shared" si="3"/>
        <v>TEXT</v>
      </c>
      <c r="R15" s="76" t="str">
        <f t="shared" si="4"/>
        <v/>
      </c>
      <c r="S15" s="76" t="str">
        <f t="shared" ref="S15:S21" si="5">IF(I15="○","NOT NULL","")</f>
        <v>NOT NULL</v>
      </c>
      <c r="T15" s="76" t="str">
        <f t="shared" ref="T15:T21" si="6">"-- "&amp;C15</f>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3834</v>
      </c>
      <c r="D16" s="6" t="s">
        <v>1626</v>
      </c>
      <c r="E16" s="8" t="s">
        <v>127</v>
      </c>
      <c r="F16" s="7" t="s">
        <v>3820</v>
      </c>
      <c r="G16" s="7" t="str">
        <f t="shared" si="1"/>
        <v>text</v>
      </c>
      <c r="H16" s="67"/>
      <c r="I16" s="8" t="s">
        <v>127</v>
      </c>
      <c r="J16" s="11"/>
      <c r="N16" s="76"/>
      <c r="O16" s="76"/>
      <c r="P16" s="76" t="str">
        <f t="shared" si="2"/>
        <v>,item_name</v>
      </c>
      <c r="Q16" s="76" t="str">
        <f t="shared" si="3"/>
        <v>TEXT</v>
      </c>
      <c r="R16" s="76" t="str">
        <f t="shared" si="4"/>
        <v/>
      </c>
      <c r="S16" s="76" t="str">
        <f t="shared" si="5"/>
        <v>NOT NULL</v>
      </c>
      <c r="T16" s="76" t="str">
        <f t="shared" si="6"/>
        <v>-- 検査名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milscm_2023_009.sny_202310_enroll_mt_kensa.item_name IS '検査名';</v>
      </c>
    </row>
    <row r="17" spans="1:52" s="25" customFormat="1">
      <c r="A17" s="4"/>
      <c r="B17" s="21">
        <f t="shared" si="0"/>
        <v>5</v>
      </c>
      <c r="C17" s="6" t="s">
        <v>3835</v>
      </c>
      <c r="D17" s="6" t="s">
        <v>3836</v>
      </c>
      <c r="E17" s="8" t="s">
        <v>127</v>
      </c>
      <c r="F17" s="7" t="s">
        <v>3820</v>
      </c>
      <c r="G17" s="7" t="str">
        <f t="shared" si="1"/>
        <v>text</v>
      </c>
      <c r="H17" s="67"/>
      <c r="I17" s="8" t="s">
        <v>127</v>
      </c>
      <c r="J17" s="11"/>
      <c r="N17" s="76"/>
      <c r="O17" s="76"/>
      <c r="P17" s="76" t="str">
        <f t="shared" si="2"/>
        <v>,item_code</v>
      </c>
      <c r="Q17" s="76" t="str">
        <f t="shared" si="3"/>
        <v>TEXT</v>
      </c>
      <c r="R17" s="76" t="str">
        <f t="shared" si="4"/>
        <v/>
      </c>
      <c r="S17" s="76" t="str">
        <f t="shared" si="5"/>
        <v>NOT NULL</v>
      </c>
      <c r="T17" s="76" t="str">
        <f t="shared" si="6"/>
        <v>-- 検査名_施設固有コード</v>
      </c>
      <c r="U17" s="4"/>
      <c r="AA17" s="4"/>
      <c r="AB17" s="4"/>
      <c r="AC17" s="4"/>
      <c r="AD17" s="4"/>
      <c r="AE17" s="4"/>
      <c r="AF17" s="4"/>
      <c r="AG17" s="4"/>
      <c r="AH17" s="4"/>
      <c r="AI17" s="4"/>
      <c r="AJ17" s="76" t="str">
        <f>IF(E17="○",IF(COUNTA(E$13:E17)=1,"",",")&amp;D17,"")</f>
        <v>,item_code</v>
      </c>
      <c r="AK17" s="4"/>
      <c r="AL17" s="4"/>
      <c r="AM17" s="4"/>
      <c r="AN17" s="4"/>
      <c r="AO17" s="4"/>
      <c r="AP17" s="4"/>
      <c r="AQ17" s="4"/>
      <c r="AR17" s="4"/>
      <c r="AS17" s="76"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3842</v>
      </c>
      <c r="D18" s="6" t="s">
        <v>3843</v>
      </c>
      <c r="E18" s="8" t="s">
        <v>127</v>
      </c>
      <c r="F18" s="7" t="s">
        <v>3278</v>
      </c>
      <c r="G18" s="7" t="str">
        <f t="shared" si="1"/>
        <v>text</v>
      </c>
      <c r="H18" s="67"/>
      <c r="I18" s="8" t="s">
        <v>127</v>
      </c>
      <c r="J18" s="11"/>
      <c r="N18" s="76"/>
      <c r="O18" s="76"/>
      <c r="P18" s="76" t="str">
        <f t="shared" si="2"/>
        <v>,unit</v>
      </c>
      <c r="Q18" s="76" t="str">
        <f t="shared" si="3"/>
        <v>TEXT</v>
      </c>
      <c r="R18" s="76" t="str">
        <f t="shared" si="4"/>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milscm_2023_009.sny_202310_enroll_mt_kensa.unit IS '単位';</v>
      </c>
    </row>
    <row r="19" spans="1:52" s="25" customFormat="1">
      <c r="A19" s="4"/>
      <c r="B19" s="21">
        <f t="shared" si="0"/>
        <v>7</v>
      </c>
      <c r="C19" s="6" t="s">
        <v>3837</v>
      </c>
      <c r="D19" s="6" t="s">
        <v>3838</v>
      </c>
      <c r="E19" s="8"/>
      <c r="F19" s="7" t="s">
        <v>3278</v>
      </c>
      <c r="G19" s="7" t="str">
        <f t="shared" si="1"/>
        <v>text</v>
      </c>
      <c r="H19" s="67"/>
      <c r="I19" s="8" t="s">
        <v>127</v>
      </c>
      <c r="J19" s="11"/>
      <c r="N19" s="76"/>
      <c r="O19" s="76"/>
      <c r="P19" s="76" t="str">
        <f t="shared" si="2"/>
        <v>,m_unit</v>
      </c>
      <c r="Q19" s="76" t="str">
        <f t="shared" si="3"/>
        <v>TEXT</v>
      </c>
      <c r="R19" s="76" t="str">
        <f t="shared" si="4"/>
        <v/>
      </c>
      <c r="S19" s="76" t="str">
        <f t="shared" si="5"/>
        <v>NOT NULL</v>
      </c>
      <c r="T19" s="76" t="str">
        <f t="shared" si="6"/>
        <v>-- 一般単位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milscm_2023_009.sny_202310_enroll_mt_kensa.m_unit IS '一般単位';</v>
      </c>
    </row>
    <row r="20" spans="1:52" s="25" customFormat="1">
      <c r="A20" s="4"/>
      <c r="B20" s="21">
        <f t="shared" si="0"/>
        <v>8</v>
      </c>
      <c r="C20" s="6" t="s">
        <v>3844</v>
      </c>
      <c r="D20" s="6" t="s">
        <v>3845</v>
      </c>
      <c r="E20" s="8"/>
      <c r="F20" s="7" t="s">
        <v>3820</v>
      </c>
      <c r="G20" s="7" t="str">
        <f t="shared" si="1"/>
        <v>text</v>
      </c>
      <c r="H20" s="67"/>
      <c r="I20" s="8" t="s">
        <v>127</v>
      </c>
      <c r="J20" s="11"/>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milscm_2023_009.sny_202310_enroll_mt_kensa.disp_name IS '表示名';</v>
      </c>
    </row>
    <row r="21" spans="1:52" s="25" customFormat="1" ht="19.5" thickBot="1">
      <c r="A21" s="4"/>
      <c r="B21" s="66">
        <f t="shared" si="0"/>
        <v>9</v>
      </c>
      <c r="C21" s="28" t="s">
        <v>3839</v>
      </c>
      <c r="D21" s="28" t="s">
        <v>3840</v>
      </c>
      <c r="E21" s="29"/>
      <c r="F21" s="56" t="s">
        <v>3841</v>
      </c>
      <c r="G21" s="56" t="str">
        <f t="shared" si="1"/>
        <v>numeric</v>
      </c>
      <c r="H21" s="68"/>
      <c r="I21" s="29"/>
      <c r="J21" s="69"/>
      <c r="N21" s="76"/>
      <c r="O21" s="76"/>
      <c r="P21" s="76" t="str">
        <f t="shared" si="2"/>
        <v>,rate</v>
      </c>
      <c r="Q21" s="76" t="str">
        <f t="shared" si="3"/>
        <v>NUMERIC</v>
      </c>
      <c r="R21" s="76" t="str">
        <f t="shared" si="4"/>
        <v/>
      </c>
      <c r="S21" s="76" t="str">
        <f t="shared" si="5"/>
        <v/>
      </c>
      <c r="T21" s="76" t="str">
        <f t="shared" si="6"/>
        <v>-- 換算率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milscm_2023_009.sny_202310_enroll_mt_kensa.rate IS '換算率';</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B9:C9"/>
    <mergeCell ref="D9:J9"/>
    <mergeCell ref="D8:J8"/>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12" priority="4"/>
  </conditionalFormatting>
  <conditionalFormatting sqref="D15">
    <cfRule type="duplicateValues" dxfId="11" priority="3"/>
  </conditionalFormatting>
  <conditionalFormatting sqref="D13">
    <cfRule type="duplicateValues" dxfId="10" priority="2"/>
  </conditionalFormatting>
  <conditionalFormatting sqref="D14">
    <cfRule type="duplicateValues" dxfId="9"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ENT_11_05</v>
      </c>
      <c r="E6" s="240"/>
      <c r="F6" s="240"/>
      <c r="G6" s="240"/>
      <c r="H6" s="240"/>
      <c r="I6" s="240"/>
      <c r="J6" s="241"/>
    </row>
    <row r="7" spans="1:45">
      <c r="B7" s="229" t="s">
        <v>115</v>
      </c>
      <c r="C7" s="230"/>
      <c r="D7" s="231" t="s">
        <v>3830</v>
      </c>
      <c r="E7" s="232"/>
      <c r="F7" s="232"/>
      <c r="G7" s="232"/>
      <c r="H7" s="232"/>
      <c r="I7" s="232"/>
      <c r="J7" s="233"/>
    </row>
    <row r="8" spans="1:45">
      <c r="B8" s="229" t="s">
        <v>116</v>
      </c>
      <c r="C8" s="230"/>
      <c r="D8" s="231" t="str">
        <f>エンティティ一覧!AE2&amp;"_"&amp;D5&amp;"_kensa"</f>
        <v>sny_202310_enroll_kensa</v>
      </c>
      <c r="E8" s="232"/>
      <c r="F8" s="232"/>
      <c r="G8" s="232"/>
      <c r="H8" s="232"/>
      <c r="I8" s="232"/>
      <c r="J8" s="233"/>
    </row>
    <row r="9" spans="1:45" ht="19.5" customHeight="1" thickBot="1">
      <c r="B9" s="234" t="s">
        <v>117</v>
      </c>
      <c r="C9" s="235"/>
      <c r="D9" s="236" t="s">
        <v>3847</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milscm_2023_009.sny_202310_enroll_kensa;</v>
      </c>
      <c r="O10" s="76"/>
      <c r="P10" s="76"/>
      <c r="Q10" s="76"/>
      <c r="R10" s="76"/>
      <c r="S10" s="76"/>
      <c r="T10" s="76"/>
      <c r="AJ10" s="76" t="str">
        <f>"ALTER TABLE ONLY "&amp;エンティティ一覧!$O$2&amp;"."&amp;D$8</f>
        <v>ALTER TABLE ONLY milscm_2023_009.sny_202310_enroll_kensa</v>
      </c>
      <c r="AS10" s="76" t="str">
        <f>"ALTER TABLE "&amp;エンティティ一覧!$O$2&amp;"."&amp;D$8&amp;" OWNER TO pgmisgrp1;"</f>
        <v>ALTER TABLE milscm_2023_009.sny_202310_enroll_kensa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milscm_2023_009.sny_202310_enroll_kensa</v>
      </c>
      <c r="O11" s="76"/>
      <c r="P11" s="76"/>
      <c r="Q11" s="76"/>
      <c r="R11" s="76"/>
      <c r="S11" s="76"/>
      <c r="T11" s="76"/>
      <c r="AJ11" s="76" t="str">
        <f>"ADD CONSTRAINT "&amp;D$8&amp;"_pkey PRIMARY KEY"</f>
        <v>ADD CONSTRAINT sny_202310_enroll_kensa_pkey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0"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milscm_2023_009.sny_202310_enroll_kensa.facility_id IS '施設ID';</v>
      </c>
    </row>
    <row r="14" spans="1:45" s="25" customFormat="1">
      <c r="A14" s="4"/>
      <c r="B14" s="21">
        <f t="shared" si="0"/>
        <v>2</v>
      </c>
      <c r="C14" s="13" t="s">
        <v>1247</v>
      </c>
      <c r="D14" s="13" t="s">
        <v>1248</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milscm_2023_009.sny_202310_enroll_kensa.master_id IS '患者ID';</v>
      </c>
    </row>
    <row r="15" spans="1:45" s="25" customFormat="1">
      <c r="A15" s="4"/>
      <c r="B15" s="21">
        <f t="shared" si="0"/>
        <v>3</v>
      </c>
      <c r="C15" s="13" t="s">
        <v>1608</v>
      </c>
      <c r="D15" s="13" t="s">
        <v>1609</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milscm_2023_009.sny_202310_enroll_kensa.specimen_name IS '検体材料';</v>
      </c>
    </row>
    <row r="16" spans="1:45" s="25" customFormat="1">
      <c r="A16" s="4"/>
      <c r="B16" s="21">
        <f t="shared" si="0"/>
        <v>4</v>
      </c>
      <c r="C16" s="13" t="s">
        <v>1610</v>
      </c>
      <c r="D16" s="13" t="s">
        <v>1611</v>
      </c>
      <c r="E16" s="7" t="s">
        <v>127</v>
      </c>
      <c r="F16" s="7" t="s">
        <v>865</v>
      </c>
      <c r="G16" s="7" t="str">
        <f t="shared" si="1"/>
        <v>text</v>
      </c>
      <c r="H16" s="9"/>
      <c r="I16" s="10" t="s">
        <v>127</v>
      </c>
      <c r="J16" s="24"/>
      <c r="M16" s="4"/>
      <c r="N16" s="76"/>
      <c r="O16" s="76"/>
      <c r="P16" s="76" t="str">
        <f t="shared" si="2"/>
        <v>,sp_code</v>
      </c>
      <c r="Q16" s="76" t="str">
        <f t="shared" ref="Q16:Q19" si="7">UPPER(G16)</f>
        <v>TEXT</v>
      </c>
      <c r="R16" s="76" t="str">
        <f t="shared" ref="R16:R19" si="8">IF(H16&lt;&gt;"","default "&amp;IF(G16="text","'"&amp;H16&amp;"'",H16),"")</f>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milscm_2023_009.sny_202310_enroll_kensa.sp_code IS '検体材料コード';</v>
      </c>
    </row>
    <row r="17" spans="1:52" s="25" customFormat="1">
      <c r="A17" s="4"/>
      <c r="B17" s="21">
        <f t="shared" si="0"/>
        <v>5</v>
      </c>
      <c r="C17" s="13" t="s">
        <v>1625</v>
      </c>
      <c r="D17" s="13" t="s">
        <v>1626</v>
      </c>
      <c r="E17" s="7" t="s">
        <v>127</v>
      </c>
      <c r="F17" s="7" t="s">
        <v>865</v>
      </c>
      <c r="G17" s="7" t="str">
        <f t="shared" ref="G17" si="9">IF(F17="フラグ","boolean",IF(F17="文字列","text",IF(F17="整数","integer",IF(F17="実数","numeric",""))))</f>
        <v>text</v>
      </c>
      <c r="H17" s="9"/>
      <c r="I17" s="10" t="s">
        <v>127</v>
      </c>
      <c r="J17" s="24"/>
      <c r="M17" s="4"/>
      <c r="N17" s="76"/>
      <c r="O17" s="76"/>
      <c r="P17" s="76" t="str">
        <f t="shared" ref="P17" si="10">IF(B17&lt;&gt;1,","&amp;D17,D17)</f>
        <v>,item_name</v>
      </c>
      <c r="Q17" s="76" t="str">
        <f t="shared" ref="Q17" si="11">UPPER(G17)</f>
        <v>TEXT</v>
      </c>
      <c r="R17" s="76" t="str">
        <f t="shared" ref="R17" si="12">IF(H17&lt;&gt;"","default "&amp;IF(G17="text","'"&amp;H17&amp;"'",H17),"")</f>
        <v/>
      </c>
      <c r="S17" s="76" t="str">
        <f t="shared" ref="S17" si="13">IF(I17="○","NOT NULL","")</f>
        <v>NOT NULL</v>
      </c>
      <c r="T17" s="76" t="str">
        <f t="shared" ref="T17" si="14">"-- "&amp;C17</f>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milscm_2023_009.sny_202310_enroll_kensa.item_name IS '項目名';</v>
      </c>
    </row>
    <row r="18" spans="1:52" s="25" customFormat="1">
      <c r="A18" s="4"/>
      <c r="B18" s="21">
        <f t="shared" si="0"/>
        <v>6</v>
      </c>
      <c r="C18" s="13" t="s">
        <v>1627</v>
      </c>
      <c r="D18" s="13" t="s">
        <v>1628</v>
      </c>
      <c r="E18" s="7" t="s">
        <v>127</v>
      </c>
      <c r="F18" s="7" t="s">
        <v>865</v>
      </c>
      <c r="G18" s="7" t="str">
        <f t="shared" si="1"/>
        <v>text</v>
      </c>
      <c r="H18" s="9"/>
      <c r="I18" s="10" t="s">
        <v>127</v>
      </c>
      <c r="J18" s="24"/>
      <c r="M18" s="4"/>
      <c r="N18" s="76"/>
      <c r="O18" s="76"/>
      <c r="P18" s="76" t="str">
        <f t="shared" si="2"/>
        <v>,facility_it_code</v>
      </c>
      <c r="Q18" s="76" t="str">
        <f t="shared" si="7"/>
        <v>TEXT</v>
      </c>
      <c r="R18" s="76" t="str">
        <f t="shared" si="8"/>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milscm_2023_009.sny_202310_enroll_kensa.facility_it_code IS '施設固有コード';</v>
      </c>
    </row>
    <row r="19" spans="1:52" s="25" customFormat="1">
      <c r="A19" s="4"/>
      <c r="B19" s="21">
        <f t="shared" si="0"/>
        <v>7</v>
      </c>
      <c r="C19" s="13" t="s">
        <v>1653</v>
      </c>
      <c r="D19" s="13" t="s">
        <v>276</v>
      </c>
      <c r="E19" s="7" t="s">
        <v>127</v>
      </c>
      <c r="F19" s="7" t="s">
        <v>865</v>
      </c>
      <c r="G19" s="7" t="str">
        <f t="shared" si="1"/>
        <v>text</v>
      </c>
      <c r="H19" s="9"/>
      <c r="I19" s="10" t="s">
        <v>127</v>
      </c>
      <c r="J19" s="24"/>
      <c r="M19" s="4"/>
      <c r="N19" s="76"/>
      <c r="O19" s="76"/>
      <c r="P19" s="76" t="str">
        <f t="shared" si="2"/>
        <v>,unit</v>
      </c>
      <c r="Q19" s="76" t="str">
        <f t="shared" si="7"/>
        <v>TEXT</v>
      </c>
      <c r="R19" s="76" t="str">
        <f t="shared" si="8"/>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milscm_2023_009.sny_202310_enroll_kensa.unit IS '単位';</v>
      </c>
    </row>
    <row r="20" spans="1:52" s="25" customFormat="1">
      <c r="A20" s="4"/>
      <c r="B20" s="21">
        <f t="shared" si="0"/>
        <v>8</v>
      </c>
      <c r="C20" s="13" t="s">
        <v>3846</v>
      </c>
      <c r="D20" s="13" t="s">
        <v>3845</v>
      </c>
      <c r="E20" s="7"/>
      <c r="F20" s="7" t="s">
        <v>865</v>
      </c>
      <c r="G20" s="7" t="str">
        <f t="shared" si="1"/>
        <v>text</v>
      </c>
      <c r="H20" s="9"/>
      <c r="I20" s="10" t="s">
        <v>127</v>
      </c>
      <c r="J20" s="24"/>
      <c r="M20" s="4"/>
      <c r="N20" s="76"/>
      <c r="O20" s="76"/>
      <c r="P20" s="76" t="str">
        <f t="shared" si="2"/>
        <v>,disp_name</v>
      </c>
      <c r="Q20" s="76" t="str">
        <f t="shared" ref="Q20" si="15">UPPER(G20)</f>
        <v>TEXT</v>
      </c>
      <c r="R20" s="76" t="str">
        <f t="shared" ref="R20" si="16">IF(H20&lt;&gt;"","default "&amp;IF(G20="text","'"&amp;H20&amp;"'",H20),"")</f>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milscm_2023_009.sny_202310_enroll_kensa.disp_name IS '表示名';</v>
      </c>
    </row>
    <row r="21" spans="1:52" s="25" customFormat="1" ht="19.5" thickBot="1">
      <c r="A21" s="4"/>
      <c r="B21" s="66">
        <f t="shared" ref="B21" si="17">ROW()-12</f>
        <v>9</v>
      </c>
      <c r="C21" s="28" t="s">
        <v>1550</v>
      </c>
      <c r="D21" s="28" t="s">
        <v>1551</v>
      </c>
      <c r="E21" s="29" t="s">
        <v>127</v>
      </c>
      <c r="F21" s="56" t="s">
        <v>865</v>
      </c>
      <c r="G21" s="56" t="str">
        <f t="shared" ref="G21" si="18">IF(F21="フラグ","boolean",IF(F21="文字列","text",IF(F21="整数","integer",IF(F21="実数","numeric",""))))</f>
        <v>text</v>
      </c>
      <c r="H21" s="59"/>
      <c r="I21" s="60" t="s">
        <v>127</v>
      </c>
      <c r="J21" s="61"/>
      <c r="M21" s="4"/>
      <c r="N21" s="76"/>
      <c r="O21" s="76"/>
      <c r="P21" s="76" t="str">
        <f t="shared" ref="P21" si="19">IF(B21&lt;&gt;1,","&amp;D21,D21)</f>
        <v>,sample_time</v>
      </c>
      <c r="Q21" s="76" t="str">
        <f t="shared" si="3"/>
        <v>TEXT</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ENT_11_06</v>
      </c>
      <c r="E6" s="240"/>
      <c r="F6" s="240"/>
      <c r="G6" s="240"/>
      <c r="H6" s="240"/>
      <c r="I6" s="240"/>
      <c r="J6" s="241"/>
    </row>
    <row r="7" spans="1:45">
      <c r="B7" s="229" t="s">
        <v>115</v>
      </c>
      <c r="C7" s="230"/>
      <c r="D7" s="231" t="s">
        <v>4024</v>
      </c>
      <c r="E7" s="232"/>
      <c r="F7" s="232"/>
      <c r="G7" s="232"/>
      <c r="H7" s="232"/>
      <c r="I7" s="232"/>
      <c r="J7" s="233"/>
    </row>
    <row r="8" spans="1:45">
      <c r="B8" s="229" t="s">
        <v>116</v>
      </c>
      <c r="C8" s="230"/>
      <c r="D8" s="231" t="str">
        <f>エンティティ一覧!AE2&amp;"_"&amp;D5&amp;"_kensa_kanja"</f>
        <v>sny_202310_enroll_kensa_kanja</v>
      </c>
      <c r="E8" s="232"/>
      <c r="F8" s="232"/>
      <c r="G8" s="232"/>
      <c r="H8" s="232"/>
      <c r="I8" s="232"/>
      <c r="J8" s="233"/>
    </row>
    <row r="9" spans="1:45" ht="19.5" customHeight="1" thickBot="1">
      <c r="B9" s="234" t="s">
        <v>117</v>
      </c>
      <c r="C9" s="235"/>
      <c r="D9" s="236" t="s">
        <v>4026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milscm_2023_009.sny_202310_enroll_kensa_kanja;</v>
      </c>
      <c r="O10" s="76"/>
      <c r="P10" s="76"/>
      <c r="Q10" s="76"/>
      <c r="R10" s="76"/>
      <c r="S10" s="76"/>
      <c r="T10" s="76"/>
      <c r="AJ10" s="76" t="str">
        <f>"ALTER TABLE ONLY "&amp;エンティティ一覧!$O$2&amp;"."&amp;D$8</f>
        <v>ALTER TABLE ONLY milscm_2023_009.sny_202310_enroll_kensa_kanja</v>
      </c>
      <c r="AS10" s="76" t="str">
        <f>"ALTER TABLE "&amp;エンティティ一覧!$O$2&amp;"."&amp;D$8&amp;" OWNER TO pgmisgrp1;"</f>
        <v>ALTER TABLE milscm_2023_009.sny_202310_enroll_kensa_kanja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milscm_2023_009.sny_202310_enroll_kensa_kanja</v>
      </c>
      <c r="O11" s="76"/>
      <c r="P11" s="76"/>
      <c r="Q11" s="76"/>
      <c r="R11" s="76"/>
      <c r="S11" s="76"/>
      <c r="T11" s="76"/>
      <c r="AJ11" s="76" t="str">
        <f>"ADD CONSTRAINT "&amp;D$8&amp;"_pkey PRIMARY KEY"</f>
        <v>ADD CONSTRAINT sny_202310_enroll_kensa_kanja_pkey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milscm_2023_009.sny_202310_enroll_kensa_kanja IS '組入れ_対象検体検査_対象患者';</v>
      </c>
    </row>
    <row r="13" spans="1:45" s="25" customFormat="1">
      <c r="A13" s="4"/>
      <c r="B13" s="21">
        <f t="shared" ref="B13:B21"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1"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milscm_2023_009.sny_202310_enroll_kensa_kanja.facility_id IS '施設ID';</v>
      </c>
    </row>
    <row r="14" spans="1:45" s="25" customFormat="1">
      <c r="A14" s="4"/>
      <c r="B14" s="21">
        <f t="shared" si="0"/>
        <v>2</v>
      </c>
      <c r="C14" s="13" t="s">
        <v>1247</v>
      </c>
      <c r="D14" s="13" t="s">
        <v>1248</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milscm_2023_009.sny_202310_enroll_kensa_kanja.master_id IS '患者ID';</v>
      </c>
    </row>
    <row r="15" spans="1:45" s="25" customFormat="1">
      <c r="A15" s="4"/>
      <c r="B15" s="21">
        <f t="shared" si="0"/>
        <v>3</v>
      </c>
      <c r="C15" s="13" t="s">
        <v>1608</v>
      </c>
      <c r="D15" s="13" t="s">
        <v>1609</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milscm_2023_009.sny_202310_enroll_kensa_kanja.specimen_name IS '検体材料';</v>
      </c>
    </row>
    <row r="16" spans="1:45" s="25" customFormat="1">
      <c r="A16" s="4"/>
      <c r="B16" s="21">
        <f t="shared" si="0"/>
        <v>4</v>
      </c>
      <c r="C16" s="13" t="s">
        <v>1610</v>
      </c>
      <c r="D16" s="13" t="s">
        <v>1611</v>
      </c>
      <c r="E16" s="7" t="s">
        <v>127</v>
      </c>
      <c r="F16" s="7" t="s">
        <v>865</v>
      </c>
      <c r="G16" s="7" t="str">
        <f t="shared" si="1"/>
        <v>text</v>
      </c>
      <c r="H16" s="9"/>
      <c r="I16" s="10" t="s">
        <v>127</v>
      </c>
      <c r="J16" s="24"/>
      <c r="M16" s="4"/>
      <c r="N16" s="76"/>
      <c r="O16" s="76"/>
      <c r="P16" s="76" t="str">
        <f t="shared" si="2"/>
        <v>,sp_code</v>
      </c>
      <c r="Q16" s="76" t="str">
        <f t="shared" si="3"/>
        <v>TEXT</v>
      </c>
      <c r="R16" s="76" t="str">
        <f t="shared" si="4"/>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milscm_2023_009.sny_202310_enroll_kensa_kanja.sp_code IS '検体材料コード';</v>
      </c>
    </row>
    <row r="17" spans="1:52" s="25" customFormat="1">
      <c r="A17" s="4"/>
      <c r="B17" s="21">
        <f t="shared" si="0"/>
        <v>5</v>
      </c>
      <c r="C17" s="13" t="s">
        <v>1625</v>
      </c>
      <c r="D17" s="13" t="s">
        <v>1626</v>
      </c>
      <c r="E17" s="7" t="s">
        <v>127</v>
      </c>
      <c r="F17" s="7" t="s">
        <v>865</v>
      </c>
      <c r="G17" s="7" t="str">
        <f t="shared" si="1"/>
        <v>text</v>
      </c>
      <c r="H17" s="9"/>
      <c r="I17" s="10" t="s">
        <v>127</v>
      </c>
      <c r="J17" s="24"/>
      <c r="M17" s="4"/>
      <c r="N17" s="76"/>
      <c r="O17" s="76"/>
      <c r="P17" s="76" t="str">
        <f t="shared" si="2"/>
        <v>,item_name</v>
      </c>
      <c r="Q17" s="76" t="str">
        <f t="shared" si="3"/>
        <v>TEXT</v>
      </c>
      <c r="R17" s="76" t="str">
        <f t="shared" si="4"/>
        <v/>
      </c>
      <c r="S17" s="76" t="str">
        <f t="shared" si="5"/>
        <v>NOT NULL</v>
      </c>
      <c r="T17" s="76" t="str">
        <f t="shared" si="6"/>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milscm_2023_009.sny_202310_enroll_kensa_kanja.item_name IS '項目名';</v>
      </c>
    </row>
    <row r="18" spans="1:52" s="25" customFormat="1">
      <c r="A18" s="4"/>
      <c r="B18" s="21">
        <f t="shared" si="0"/>
        <v>6</v>
      </c>
      <c r="C18" s="13" t="s">
        <v>1627</v>
      </c>
      <c r="D18" s="13" t="s">
        <v>1628</v>
      </c>
      <c r="E18" s="7" t="s">
        <v>127</v>
      </c>
      <c r="F18" s="7" t="s">
        <v>865</v>
      </c>
      <c r="G18" s="7" t="str">
        <f t="shared" si="1"/>
        <v>text</v>
      </c>
      <c r="H18" s="9"/>
      <c r="I18" s="10" t="s">
        <v>127</v>
      </c>
      <c r="J18" s="24"/>
      <c r="M18" s="4"/>
      <c r="N18" s="76"/>
      <c r="O18" s="76"/>
      <c r="P18" s="76" t="str">
        <f t="shared" si="2"/>
        <v>,facility_it_code</v>
      </c>
      <c r="Q18" s="76" t="str">
        <f t="shared" si="3"/>
        <v>TEXT</v>
      </c>
      <c r="R18" s="76" t="str">
        <f t="shared" si="4"/>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milscm_2023_009.sny_202310_enroll_kensa_kanja.facility_it_code IS '施設固有コード';</v>
      </c>
    </row>
    <row r="19" spans="1:52" s="25" customFormat="1">
      <c r="A19" s="4"/>
      <c r="B19" s="21">
        <f t="shared" si="0"/>
        <v>7</v>
      </c>
      <c r="C19" s="13" t="s">
        <v>1653</v>
      </c>
      <c r="D19" s="13" t="s">
        <v>276</v>
      </c>
      <c r="E19" s="7" t="s">
        <v>127</v>
      </c>
      <c r="F19" s="7" t="s">
        <v>865</v>
      </c>
      <c r="G19" s="7" t="str">
        <f t="shared" si="1"/>
        <v>text</v>
      </c>
      <c r="H19" s="9"/>
      <c r="I19" s="10" t="s">
        <v>127</v>
      </c>
      <c r="J19" s="24"/>
      <c r="M19" s="4"/>
      <c r="N19" s="76"/>
      <c r="O19" s="76"/>
      <c r="P19" s="76" t="str">
        <f t="shared" si="2"/>
        <v>,unit</v>
      </c>
      <c r="Q19" s="76" t="str">
        <f t="shared" si="3"/>
        <v>TEXT</v>
      </c>
      <c r="R19" s="76" t="str">
        <f t="shared" si="4"/>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milscm_2023_009.sny_202310_enroll_kensa_kanja.unit IS '単位';</v>
      </c>
    </row>
    <row r="20" spans="1:52" s="25" customFormat="1">
      <c r="A20" s="4"/>
      <c r="B20" s="21">
        <f t="shared" si="0"/>
        <v>8</v>
      </c>
      <c r="C20" s="13" t="s">
        <v>3846</v>
      </c>
      <c r="D20" s="13" t="s">
        <v>3845</v>
      </c>
      <c r="E20" s="7"/>
      <c r="F20" s="7" t="s">
        <v>865</v>
      </c>
      <c r="G20" s="7" t="str">
        <f t="shared" si="1"/>
        <v>text</v>
      </c>
      <c r="H20" s="9"/>
      <c r="I20" s="10" t="s">
        <v>127</v>
      </c>
      <c r="J20" s="24"/>
      <c r="M20" s="4"/>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milscm_2023_009.sny_202310_enroll_kensa_kanja.disp_name IS '表示名';</v>
      </c>
    </row>
    <row r="21" spans="1:52" s="25" customFormat="1" ht="19.5" thickBot="1">
      <c r="A21" s="4"/>
      <c r="B21" s="66">
        <f t="shared" si="0"/>
        <v>9</v>
      </c>
      <c r="C21" s="28" t="s">
        <v>1550</v>
      </c>
      <c r="D21" s="28" t="s">
        <v>1551</v>
      </c>
      <c r="E21" s="29" t="s">
        <v>127</v>
      </c>
      <c r="F21" s="56" t="s">
        <v>4027</v>
      </c>
      <c r="G21" s="56" t="s">
        <v>99</v>
      </c>
      <c r="H21" s="59"/>
      <c r="I21" s="60" t="s">
        <v>127</v>
      </c>
      <c r="J21" s="61"/>
      <c r="M21" s="4"/>
      <c r="N21" s="76"/>
      <c r="O21" s="76"/>
      <c r="P21" s="76" t="str">
        <f t="shared" si="2"/>
        <v>,sample_time</v>
      </c>
      <c r="Q21" s="76" t="str">
        <f t="shared" si="3"/>
        <v>DATE</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milscm_2023_009.sny_202310_enroll_kensa_kanja.sample_time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11</v>
      </c>
      <c r="E4" s="245"/>
      <c r="F4" s="245"/>
      <c r="G4" s="245"/>
      <c r="H4" s="245"/>
      <c r="I4" s="245"/>
      <c r="J4" s="246"/>
    </row>
    <row r="5" spans="1:52">
      <c r="B5" s="229" t="s">
        <v>3704</v>
      </c>
      <c r="C5" s="230"/>
      <c r="D5" s="239" t="str">
        <f>VLOOKUP(D7,エンティティ一覧!A1:'エンティティ一覧'!AM10183,7,FALSE)</f>
        <v>enroll</v>
      </c>
      <c r="E5" s="240"/>
      <c r="F5" s="240"/>
      <c r="G5" s="240"/>
      <c r="H5" s="240"/>
      <c r="I5" s="240"/>
      <c r="J5" s="241"/>
    </row>
    <row r="6" spans="1:52">
      <c r="B6" s="229" t="s">
        <v>3705</v>
      </c>
      <c r="C6" s="230"/>
      <c r="D6" s="239" t="str">
        <f>VLOOKUP(D7,エンティティ一覧!A1:'エンティティ一覧'!AM10183,15,FALSE)</f>
        <v>ENT_11_07</v>
      </c>
      <c r="E6" s="240"/>
      <c r="F6" s="240"/>
      <c r="G6" s="240"/>
      <c r="H6" s="240"/>
      <c r="I6" s="240"/>
      <c r="J6" s="241"/>
    </row>
    <row r="7" spans="1:52">
      <c r="B7" s="229" t="s">
        <v>115</v>
      </c>
      <c r="C7" s="230"/>
      <c r="D7" s="231" t="s">
        <v>304</v>
      </c>
      <c r="E7" s="232"/>
      <c r="F7" s="232"/>
      <c r="G7" s="232"/>
      <c r="H7" s="232"/>
      <c r="I7" s="232"/>
      <c r="J7" s="233"/>
    </row>
    <row r="8" spans="1:52">
      <c r="B8" s="229" t="s">
        <v>116</v>
      </c>
      <c r="C8" s="230"/>
      <c r="D8" s="231" t="str">
        <f>エンティティ一覧!AE2&amp;"_"&amp;D5&amp;"_kanja"</f>
        <v>sny_202310_enroll_kanja</v>
      </c>
      <c r="E8" s="232"/>
      <c r="F8" s="232"/>
      <c r="G8" s="232"/>
      <c r="H8" s="232"/>
      <c r="I8" s="232"/>
      <c r="J8" s="233"/>
    </row>
    <row r="9" spans="1:52" ht="19.5" customHeight="1" thickBot="1">
      <c r="B9" s="234" t="s">
        <v>117</v>
      </c>
      <c r="C9" s="235"/>
      <c r="D9" s="236" t="s">
        <v>3993</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milscm_2023_009.sny_202310_enroll_kanja;</v>
      </c>
      <c r="O10" s="76"/>
      <c r="P10" s="76"/>
      <c r="Q10" s="76"/>
      <c r="R10" s="76"/>
      <c r="S10" s="76"/>
      <c r="T10" s="76"/>
      <c r="AJ10" s="76" t="str">
        <f>"ALTER TABLE ONLY "&amp;エンティティ一覧!$O$2&amp;"."&amp;D$8</f>
        <v>ALTER TABLE ONLY milscm_2023_009.sny_202310_enroll_kanja</v>
      </c>
      <c r="AS10" s="76" t="str">
        <f>"ALTER TABLE "&amp;エンティティ一覧!$O$2&amp;"."&amp;D$8&amp;" OWNER TO pgmisgrp1;"</f>
        <v>ALTER TABLE milscm_2023_009.sny_202310_enroll_kanja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milscm_2023_009.sny_202310_enroll_kanja</v>
      </c>
      <c r="O11" s="76"/>
      <c r="P11" s="76"/>
      <c r="Q11" s="76"/>
      <c r="R11" s="76"/>
      <c r="S11" s="76"/>
      <c r="T11" s="76"/>
      <c r="AJ11" s="76" t="str">
        <f>"ADD CONSTRAINT "&amp;D$8&amp;"_pkey PRIMARY KEY"</f>
        <v>ADD CONSTRAINT sny_202310_enroll_kanja_pkey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milscm_2023_009.sny_202310_enroll_kanja.facility_id IS '施設ID';</v>
      </c>
    </row>
    <row r="14" spans="1:52" s="25" customFormat="1" ht="19.5" thickBot="1">
      <c r="A14" s="4"/>
      <c r="B14" s="70">
        <f t="shared" ref="B14" si="2">ROW()-12</f>
        <v>2</v>
      </c>
      <c r="C14" s="28" t="s">
        <v>3825</v>
      </c>
      <c r="D14" s="28" t="s">
        <v>1847</v>
      </c>
      <c r="E14" s="29" t="s">
        <v>127</v>
      </c>
      <c r="F14" s="72" t="s">
        <v>317</v>
      </c>
      <c r="G14" s="72" t="str">
        <f t="shared" ref="G14" si="3">IF(F14="フラグ","boolean",IF(F14="文字列","text",IF(F14="整数","integer",IF(F14="実数","numeric",""))))</f>
        <v>text</v>
      </c>
      <c r="H14" s="73"/>
      <c r="I14" s="74" t="s">
        <v>127</v>
      </c>
      <c r="J14" s="75"/>
      <c r="M14" s="4"/>
      <c r="N14" s="76"/>
      <c r="O14" s="76"/>
      <c r="P14" s="76" t="str">
        <f t="shared" ref="P14" si="4">IF(B14&lt;&gt;1,","&amp;D14,D14)</f>
        <v>,himoduke_id</v>
      </c>
      <c r="Q14" s="76" t="str">
        <f t="shared" si="0"/>
        <v>TEXT</v>
      </c>
      <c r="R14" s="76" t="str">
        <f t="shared" si="1"/>
        <v/>
      </c>
      <c r="S14" s="76" t="str">
        <f>IF(I14="○","NOT NULL","")</f>
        <v>NOT NULL</v>
      </c>
      <c r="T14" s="76" t="str">
        <f>"--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milscm_2023_009.sny_202310_enroll_kanja.himoduke_id IS '紐付けID';</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4090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ENT_21_01</v>
      </c>
      <c r="E6" s="240"/>
      <c r="F6" s="240"/>
      <c r="G6" s="240"/>
      <c r="H6" s="240"/>
      <c r="I6" s="240"/>
      <c r="J6" s="241"/>
    </row>
    <row r="7" spans="1:45">
      <c r="B7" s="229" t="s">
        <v>115</v>
      </c>
      <c r="C7" s="230"/>
      <c r="D7" s="231" t="s">
        <v>3854</v>
      </c>
      <c r="E7" s="232"/>
      <c r="F7" s="232"/>
      <c r="G7" s="232"/>
      <c r="H7" s="232"/>
      <c r="I7" s="232"/>
      <c r="J7" s="233"/>
    </row>
    <row r="8" spans="1:45">
      <c r="B8" s="229" t="s">
        <v>116</v>
      </c>
      <c r="C8" s="230"/>
      <c r="D8" s="231" t="str">
        <f>エンティティ一覧!AE2&amp;"_"&amp;D5&amp;"_kanja_list"</f>
        <v>sny_202310_mt_kanja_list</v>
      </c>
      <c r="E8" s="232"/>
      <c r="F8" s="232"/>
      <c r="G8" s="232"/>
      <c r="H8" s="232"/>
      <c r="I8" s="232"/>
      <c r="J8" s="233"/>
    </row>
    <row r="9" spans="1:45" ht="19.5" customHeight="1" thickBot="1">
      <c r="B9" s="234" t="s">
        <v>117</v>
      </c>
      <c r="C9" s="235"/>
      <c r="D9" s="236" t="str">
        <f>D7&amp;"情報を格納するテーブル"</f>
        <v>患者ID一覧マスタ情報を格納するテーブル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milscm_2023_009.sny_202310_mt_kanja_list;</v>
      </c>
      <c r="O10" s="76"/>
      <c r="P10" s="76"/>
      <c r="Q10" s="76"/>
      <c r="R10" s="76"/>
      <c r="S10" s="76"/>
      <c r="T10" s="76"/>
      <c r="AJ10" s="76" t="str">
        <f>"ALTER TABLE ONLY "&amp;エンティティ一覧!$O$2&amp;"."&amp;D$8</f>
        <v>ALTER TABLE ONLY milscm_2023_009.sny_202310_mt_kanja_list</v>
      </c>
      <c r="AS10" s="76" t="str">
        <f>"ALTER TABLE "&amp;エンティティ一覧!$O$2&amp;"."&amp;D$8&amp;" OWNER TO pgmisgrp1;"</f>
        <v>ALTER TABLE milscm_2023_009.sny_202310_mt_kanja_list OWNER TO pgmisgrp1;</v>
      </c>
    </row>
    <row r="11" spans="1:45" ht="19.5" thickBot="1">
      <c r="B11" s="20" t="s">
        <v>118</v>
      </c>
      <c r="C11" s="19"/>
      <c r="D11" s="5"/>
      <c r="E11" s="5"/>
      <c r="F11" s="5"/>
      <c r="G11" s="5"/>
      <c r="H11" s="5"/>
      <c r="I11" s="5"/>
      <c r="J11" s="18"/>
      <c r="N11" s="76" t="str">
        <f>"CREATE TABLE  "&amp;エンティティ一覧!$O$2&amp;"."&amp;D$8</f>
        <v>CREATE TABLE  milscm_2023_009.sny_202310_mt_kanja_list</v>
      </c>
      <c r="O11" s="76"/>
      <c r="P11" s="76"/>
      <c r="Q11" s="76"/>
      <c r="R11" s="76"/>
      <c r="S11" s="76"/>
      <c r="T11" s="76"/>
      <c r="AJ11" s="76" t="str">
        <f>"ADD CONSTRAINT "&amp;D$8&amp;"_pkey PRIMARY KEY"</f>
        <v>ADD CONSTRAINT sny_202310_mt_kanja_list_pkey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milscm_2023_009.sny_202310_mt_kanja_list IS '患者ID一覧マスタ';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2789</v>
      </c>
      <c r="D14" s="6" t="s">
        <v>2405</v>
      </c>
      <c r="E14" s="8"/>
      <c r="F14" s="7" t="s">
        <v>1823</v>
      </c>
      <c r="G14" s="7" t="str">
        <f t="shared" ref="G14:G17" si="3">IF(F14="フラグ","boolean",IF(F14="文字列","text",IF(F14="整数","integer",IF(F14="実数","numeric",""))))</f>
        <v>text</v>
      </c>
      <c r="H14" s="26"/>
      <c r="I14" s="10" t="s">
        <v>127</v>
      </c>
      <c r="J14" s="11"/>
      <c r="M14" s="4"/>
      <c r="N14" s="76"/>
      <c r="O14" s="76"/>
      <c r="P14" s="76" t="str">
        <f t="shared" ref="P14:P17" si="4">IF(B14&lt;&gt;1,","&amp;D14,D14)</f>
        <v>,facility_id_mml</v>
      </c>
      <c r="Q14" s="76" t="str">
        <f t="shared" si="0"/>
        <v>TEXT</v>
      </c>
      <c r="R14" s="76" t="str">
        <f t="shared" si="1"/>
        <v/>
      </c>
      <c r="S14" s="76" t="str">
        <f t="shared" ref="S14:S17" si="5">IF(I14="○","NOT NULL","")</f>
        <v>NOT NULL</v>
      </c>
      <c r="T14" s="76" t="str">
        <f t="shared" ref="T14:T17"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milscm_2023_009.sny_202310_mt_kanja_list.facility_id_mml IS '施設ID（MML）';</v>
      </c>
    </row>
    <row r="15" spans="1:45" s="25" customFormat="1">
      <c r="A15" s="4"/>
      <c r="B15" s="21">
        <f t="shared" si="2"/>
        <v>3</v>
      </c>
      <c r="C15" s="6" t="s">
        <v>1846</v>
      </c>
      <c r="D15" s="6" t="s">
        <v>1847</v>
      </c>
      <c r="E15" s="8" t="s">
        <v>127</v>
      </c>
      <c r="F15" s="7" t="s">
        <v>1830</v>
      </c>
      <c r="G15" s="7" t="str">
        <f t="shared" si="3"/>
        <v>text</v>
      </c>
      <c r="H15" s="26"/>
      <c r="I15" s="10" t="s">
        <v>127</v>
      </c>
      <c r="J15" s="11"/>
      <c r="M15" s="4"/>
      <c r="N15" s="76"/>
      <c r="O15" s="76"/>
      <c r="P15" s="76" t="str">
        <f t="shared" si="4"/>
        <v>,himoduke_id</v>
      </c>
      <c r="Q15" s="76" t="str">
        <f t="shared" si="0"/>
        <v>TEXT</v>
      </c>
      <c r="R15" s="76" t="str">
        <f t="shared" si="1"/>
        <v/>
      </c>
      <c r="S15" s="76" t="str">
        <f t="shared" si="5"/>
        <v>NOT NULL</v>
      </c>
      <c r="T15" s="76" t="str">
        <f t="shared" si="6"/>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milscm_2023_009.sny_202310_mt_kanja_list.himoduke_id IS '紐付けID';</v>
      </c>
    </row>
    <row r="16" spans="1:45" s="25" customFormat="1">
      <c r="A16" s="4"/>
      <c r="B16" s="21">
        <f t="shared" si="2"/>
        <v>4</v>
      </c>
      <c r="C16" s="6" t="s">
        <v>1822</v>
      </c>
      <c r="D16" s="6" t="s">
        <v>208</v>
      </c>
      <c r="E16" s="8" t="s">
        <v>127</v>
      </c>
      <c r="F16" s="7" t="s">
        <v>1823</v>
      </c>
      <c r="G16" s="7" t="str">
        <f t="shared" si="3"/>
        <v>text</v>
      </c>
      <c r="H16" s="26"/>
      <c r="I16" s="10" t="s">
        <v>127</v>
      </c>
      <c r="J16" s="11"/>
      <c r="M16" s="4"/>
      <c r="N16" s="76"/>
      <c r="O16" s="76"/>
      <c r="P16" s="76" t="str">
        <f t="shared" si="4"/>
        <v>,data_type</v>
      </c>
      <c r="Q16" s="76" t="str">
        <f t="shared" si="0"/>
        <v>TEXT</v>
      </c>
      <c r="R16" s="76" t="str">
        <f t="shared" si="1"/>
        <v/>
      </c>
      <c r="S16" s="76" t="str">
        <f t="shared" si="5"/>
        <v>NOT NULL</v>
      </c>
      <c r="T16" s="76" t="str">
        <f t="shared" si="6"/>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milscm_2023_009.sny_202310_mt_kanja_list.data_type IS 'データ種別';</v>
      </c>
    </row>
    <row r="17" spans="1:52" s="25" customFormat="1" ht="19.5" thickBot="1">
      <c r="A17" s="4"/>
      <c r="B17" s="27">
        <f>ROW()-12</f>
        <v>5</v>
      </c>
      <c r="C17" s="57" t="s">
        <v>1824</v>
      </c>
      <c r="D17" s="57" t="s">
        <v>1825</v>
      </c>
      <c r="E17" s="56" t="s">
        <v>127</v>
      </c>
      <c r="F17" s="56" t="s">
        <v>1739</v>
      </c>
      <c r="G17" s="56" t="str">
        <f t="shared" si="3"/>
        <v>text</v>
      </c>
      <c r="H17" s="59"/>
      <c r="I17" s="60" t="s">
        <v>127</v>
      </c>
      <c r="J17" s="64"/>
      <c r="N17" s="76"/>
      <c r="O17" s="76"/>
      <c r="P17" s="76" t="str">
        <f t="shared" si="4"/>
        <v>,patient_id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milscm_2023_009.sny_202310_mt_kanja_list.patient_id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4288</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ENT_21_02</v>
      </c>
      <c r="E6" s="240"/>
      <c r="F6" s="240"/>
      <c r="G6" s="240"/>
      <c r="H6" s="240"/>
      <c r="I6" s="240"/>
      <c r="J6" s="241"/>
    </row>
    <row r="7" spans="1:45">
      <c r="B7" s="229" t="s">
        <v>115</v>
      </c>
      <c r="C7" s="230"/>
      <c r="D7" s="231" t="s">
        <v>3848</v>
      </c>
      <c r="E7" s="232"/>
      <c r="F7" s="232"/>
      <c r="G7" s="232"/>
      <c r="H7" s="232"/>
      <c r="I7" s="232"/>
      <c r="J7" s="233"/>
    </row>
    <row r="8" spans="1:45">
      <c r="B8" s="229" t="s">
        <v>116</v>
      </c>
      <c r="C8" s="230"/>
      <c r="D8" s="231" t="str">
        <f>エンティティ一覧!AE2&amp;"_"&amp;D5&amp;"_shisetsu"</f>
        <v>sny_202310_mt_shisetsu</v>
      </c>
      <c r="E8" s="232"/>
      <c r="F8" s="232"/>
      <c r="G8" s="232"/>
      <c r="H8" s="232"/>
      <c r="I8" s="232"/>
      <c r="J8" s="233"/>
    </row>
    <row r="9" spans="1:45" ht="19.5" customHeight="1" thickBot="1">
      <c r="B9" s="234" t="s">
        <v>117</v>
      </c>
      <c r="C9" s="235"/>
      <c r="D9" s="236" t="s">
        <v>4071</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milscm_2023_009.sny_202310_mt_shisetsu;</v>
      </c>
      <c r="O10" s="76"/>
      <c r="P10" s="76"/>
      <c r="Q10" s="76"/>
      <c r="R10" s="76"/>
      <c r="S10" s="76"/>
      <c r="T10" s="76"/>
      <c r="AJ10" s="76" t="str">
        <f>"ALTER TABLE ONLY "&amp;エンティティ一覧!$O$2&amp;"."&amp;D$8</f>
        <v>ALTER TABLE ONLY milscm_2023_009.sny_202310_mt_shisetsu</v>
      </c>
      <c r="AS10" s="76" t="str">
        <f>"ALTER TABLE "&amp;エンティティ一覧!$O$2&amp;"."&amp;D$8&amp;" OWNER TO pgmisgrp1;"</f>
        <v>ALTER TABLE milscm_2023_009.sny_202310_mt_shisetsu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milscm_2023_009.sny_202310_mt_shisetsu</v>
      </c>
      <c r="O11" s="76"/>
      <c r="P11" s="76"/>
      <c r="Q11" s="76"/>
      <c r="R11" s="76"/>
      <c r="S11" s="76"/>
      <c r="T11" s="76"/>
      <c r="AJ11" s="76" t="str">
        <f>"ADD CONSTRAINT "&amp;D$8&amp;"_pkey PRIMARY KEY"</f>
        <v>ADD CONSTRAINT sny_202310_mt_shisetsu_pkey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milscm_2023_009.sny_202310_mt_shisetsu IS '施設マスタ';</v>
      </c>
    </row>
    <row r="13" spans="1:45" s="25" customFormat="1">
      <c r="A13" s="4"/>
      <c r="B13" s="21">
        <f>ROW()-12</f>
        <v>1</v>
      </c>
      <c r="C13" s="13" t="s">
        <v>4069</v>
      </c>
      <c r="D13" s="13" t="s">
        <v>4070</v>
      </c>
      <c r="E13" s="7" t="s">
        <v>127</v>
      </c>
      <c r="F13" s="7" t="s">
        <v>3817</v>
      </c>
      <c r="G13" s="7" t="str">
        <f>IF(F13="フラグ","boolean",IF(F13="文字列","text",IF(F13="整数","integer",IF(F13="実数","numeric",""))))</f>
        <v>text</v>
      </c>
      <c r="H13" s="9"/>
      <c r="I13" s="10" t="s">
        <v>127</v>
      </c>
      <c r="J13" s="24"/>
      <c r="M13" s="4"/>
      <c r="N13" s="76"/>
      <c r="O13" s="76"/>
      <c r="P13" s="76" t="str">
        <f>IF(B13&lt;&gt;1,","&amp;D13,D13)</f>
        <v>facility_mask_id</v>
      </c>
      <c r="Q13" s="76" t="str">
        <f t="shared" ref="Q13:Q21" si="0">UPPER(G13)</f>
        <v>TEXT</v>
      </c>
      <c r="R13" s="76" t="str">
        <f t="shared" ref="R13:R21" si="1">IF(H13&lt;&gt;"","default "&amp;IF(G13="text","'"&amp;H13&amp;"'",H13),"")</f>
        <v/>
      </c>
      <c r="S13" s="76" t="str">
        <f t="shared" ref="S13:S21" si="2">IF(I13="○","NOT NULL","")</f>
        <v>NOT NULL</v>
      </c>
      <c r="T13" s="76" t="str">
        <f t="shared" ref="T13:T21" si="3">"-- "&amp;C13</f>
        <v>-- 施設マスクID</v>
      </c>
      <c r="U13" s="4"/>
      <c r="AA13" s="4"/>
      <c r="AB13" s="4"/>
      <c r="AC13" s="4"/>
      <c r="AD13" s="4"/>
      <c r="AE13" s="4"/>
      <c r="AF13" s="4"/>
      <c r="AG13" s="4"/>
      <c r="AH13" s="4"/>
      <c r="AI13" s="4"/>
      <c r="AJ13" s="76" t="str">
        <f>IF(E13="○",IF(COUNTA(E$13:E13)=1,"",",")&amp;D13,"")</f>
        <v>facility_mask_id</v>
      </c>
      <c r="AK13" s="4"/>
      <c r="AL13" s="4"/>
      <c r="AM13" s="4"/>
      <c r="AN13" s="4"/>
      <c r="AO13" s="4"/>
      <c r="AP13" s="4"/>
      <c r="AQ13" s="4"/>
      <c r="AR13" s="4"/>
      <c r="AS13" s="76" t="str">
        <f>"COMMENT ON COLUMN "&amp;エンティティ一覧!$O$2&amp;"."&amp;D$8&amp;"."&amp;D13&amp;" IS '"&amp;C13&amp;"';"</f>
        <v>COMMENT ON COLUMN milscm_2023_009.sny_202310_mt_shisetsu.facility_mask_id IS '施設マスクID';</v>
      </c>
    </row>
    <row r="14" spans="1:45" s="25" customFormat="1">
      <c r="A14" s="4"/>
      <c r="B14" s="21">
        <f>ROW()-12</f>
        <v>2</v>
      </c>
      <c r="C14" s="13" t="s">
        <v>137</v>
      </c>
      <c r="D14" s="13" t="s">
        <v>128</v>
      </c>
      <c r="E14" s="7"/>
      <c r="F14" s="7" t="s">
        <v>3817</v>
      </c>
      <c r="G14" s="7" t="str">
        <f>IF(F14="フラグ","boolean",IF(F14="文字列","text",IF(F14="整数","integer",IF(F14="実数","numeric",""))))</f>
        <v>text</v>
      </c>
      <c r="H14" s="9"/>
      <c r="I14" s="10" t="s">
        <v>127</v>
      </c>
      <c r="J14" s="24"/>
      <c r="M14" s="4"/>
      <c r="N14" s="76"/>
      <c r="O14" s="76"/>
      <c r="P14" s="76" t="str">
        <f>IF(B14&lt;&gt;1,","&amp;D14,D14)</f>
        <v>,facility_id</v>
      </c>
      <c r="Q14" s="76" t="str">
        <f t="shared" ref="Q14" si="4">UPPER(G14)</f>
        <v>TEXT</v>
      </c>
      <c r="R14" s="76" t="str">
        <f t="shared" ref="R14" si="5">IF(H14&lt;&gt;"","default "&amp;IF(G14="text","'"&amp;H14&amp;"'",H14),"")</f>
        <v/>
      </c>
      <c r="S14" s="76" t="str">
        <f t="shared" ref="S14" si="6">IF(I14="○","NOT NULL","")</f>
        <v>NOT NULL</v>
      </c>
      <c r="T14" s="76" t="str">
        <f t="shared" ref="T14" si="7">"--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milscm_2023_009.sny_202310_mt_shisetsu.facility_id IS '施設ID';</v>
      </c>
    </row>
    <row r="15" spans="1:45" s="25" customFormat="1">
      <c r="A15" s="4"/>
      <c r="B15" s="21">
        <f>ROW()-12</f>
        <v>3</v>
      </c>
      <c r="C15" s="13" t="s">
        <v>2404</v>
      </c>
      <c r="D15" s="13" t="s">
        <v>2405</v>
      </c>
      <c r="E15" s="7"/>
      <c r="F15" s="7" t="s">
        <v>3818</v>
      </c>
      <c r="G15" s="7" t="str">
        <f>IF(F15="フラグ","boolean",IF(F15="文字列","text",IF(F15="整数","integer",IF(F15="実数","numeric",""))))</f>
        <v>text</v>
      </c>
      <c r="H15" s="9"/>
      <c r="I15" s="10"/>
      <c r="J15" s="24"/>
      <c r="M15" s="4"/>
      <c r="N15" s="76"/>
      <c r="O15" s="76"/>
      <c r="P15" s="76" t="str">
        <f>IF(B15&lt;&gt;1,","&amp;D15,D15)</f>
        <v>,facility_id_mml</v>
      </c>
      <c r="Q15" s="76" t="str">
        <f t="shared" si="0"/>
        <v>TEXT</v>
      </c>
      <c r="R15" s="76" t="str">
        <f t="shared" si="1"/>
        <v/>
      </c>
      <c r="S15" s="76" t="str">
        <f t="shared" si="2"/>
        <v/>
      </c>
      <c r="T15" s="76" t="str">
        <f t="shared" si="3"/>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milscm_2023_009.sny_202310_mt_shisetsu.facility_id_mml IS '施設ID（MML）';</v>
      </c>
    </row>
    <row r="16" spans="1:45" s="25" customFormat="1">
      <c r="A16" s="4"/>
      <c r="B16" s="21">
        <f t="shared" ref="B16:B21" si="8">ROW()-12</f>
        <v>4</v>
      </c>
      <c r="C16" s="6" t="s">
        <v>3819</v>
      </c>
      <c r="D16" s="6" t="s">
        <v>2407</v>
      </c>
      <c r="E16" s="8"/>
      <c r="F16" s="7" t="s">
        <v>3820</v>
      </c>
      <c r="G16" s="7" t="str">
        <f t="shared" ref="G16" si="9">IF(F16="フラグ","boolean",IF(F16="文字列","text",IF(F16="整数","integer",IF(F16="実数","numeric",""))))</f>
        <v>text</v>
      </c>
      <c r="H16" s="58"/>
      <c r="I16" s="23" t="s">
        <v>127</v>
      </c>
      <c r="J16" s="24"/>
      <c r="M16" s="4"/>
      <c r="N16" s="76"/>
      <c r="O16" s="76"/>
      <c r="P16" s="76" t="str">
        <f t="shared" ref="P16" si="10">IF(B16&lt;&gt;1,","&amp;D16,D16)</f>
        <v>,facility_name</v>
      </c>
      <c r="Q16" s="76" t="str">
        <f t="shared" si="0"/>
        <v>TEXT</v>
      </c>
      <c r="R16" s="76" t="str">
        <f t="shared" si="1"/>
        <v/>
      </c>
      <c r="S16" s="76" t="str">
        <f t="shared" si="2"/>
        <v>NOT NULL</v>
      </c>
      <c r="T16" s="76" t="str">
        <f t="shared" si="3"/>
        <v>-- 施設名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milscm_2023_009.sny_202310_mt_shisetsu.facility_name IS '施設名';</v>
      </c>
    </row>
    <row r="17" spans="1:52" s="25" customFormat="1">
      <c r="A17" s="4"/>
      <c r="B17" s="21">
        <f>ROW()-12</f>
        <v>5</v>
      </c>
      <c r="C17" s="13" t="s">
        <v>3821</v>
      </c>
      <c r="D17" s="13" t="s">
        <v>2413</v>
      </c>
      <c r="E17" s="7"/>
      <c r="F17" s="7" t="s">
        <v>3818</v>
      </c>
      <c r="G17" s="7" t="str">
        <f>IF(F17="フラグ","boolean",IF(F17="文字列","text",IF(F17="整数","integer",IF(F17="実数","numeric",""))))</f>
        <v>text</v>
      </c>
      <c r="H17" s="9"/>
      <c r="I17" s="10"/>
      <c r="J17" s="24"/>
      <c r="M17" s="4"/>
      <c r="N17" s="76"/>
      <c r="O17" s="76"/>
      <c r="P17" s="76" t="str">
        <f>IF(B17&lt;&gt;1,","&amp;D17,D17)</f>
        <v>,facility_contract_start</v>
      </c>
      <c r="Q17" s="76" t="str">
        <f t="shared" si="0"/>
        <v>TEXT</v>
      </c>
      <c r="R17" s="76" t="str">
        <f t="shared" si="1"/>
        <v/>
      </c>
      <c r="S17" s="76" t="str">
        <f t="shared" si="2"/>
        <v/>
      </c>
      <c r="T17" s="76" t="str">
        <f t="shared" si="3"/>
        <v>-- 施設データ提供開始日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milscm_2023_009.sny_202310_mt_shisetsu.facility_contract_start IS '施設データ提供開始日';</v>
      </c>
    </row>
    <row r="18" spans="1:52" s="25" customFormat="1">
      <c r="A18" s="4"/>
      <c r="B18" s="21">
        <f t="shared" si="8"/>
        <v>6</v>
      </c>
      <c r="C18" s="6" t="s">
        <v>3822</v>
      </c>
      <c r="D18" s="6" t="s">
        <v>2415</v>
      </c>
      <c r="E18" s="8"/>
      <c r="F18" s="7" t="s">
        <v>3818</v>
      </c>
      <c r="G18" s="7" t="str">
        <f t="shared" ref="G18:G21" si="11">IF(F18="フラグ","boolean",IF(F18="文字列","text",IF(F18="整数","integer",IF(F18="実数","numeric",""))))</f>
        <v>text</v>
      </c>
      <c r="H18" s="58"/>
      <c r="I18" s="23"/>
      <c r="J18" s="24"/>
      <c r="M18" s="4"/>
      <c r="N18" s="76"/>
      <c r="O18" s="76"/>
      <c r="P18" s="76" t="str">
        <f t="shared" ref="P18:P21" si="12">IF(B18&lt;&gt;1,","&amp;D18,D18)</f>
        <v>,facility_contract_end</v>
      </c>
      <c r="Q18" s="76" t="str">
        <f t="shared" si="0"/>
        <v>TEXT</v>
      </c>
      <c r="R18" s="76" t="str">
        <f t="shared" si="1"/>
        <v/>
      </c>
      <c r="S18" s="76" t="str">
        <f t="shared" si="2"/>
        <v/>
      </c>
      <c r="T18" s="76" t="str">
        <f t="shared" si="3"/>
        <v>-- 施設データ提供終了日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milscm_2023_009.sny_202310_mt_shisetsu.facility_contract_end IS '施設データ提供終了日';</v>
      </c>
    </row>
    <row r="19" spans="1:52" s="25" customFormat="1">
      <c r="A19" s="4"/>
      <c r="B19" s="21">
        <f>ROW()-12</f>
        <v>7</v>
      </c>
      <c r="C19" s="13" t="s">
        <v>3823</v>
      </c>
      <c r="D19" s="13" t="s">
        <v>2417</v>
      </c>
      <c r="E19" s="7"/>
      <c r="F19" s="7" t="s">
        <v>204</v>
      </c>
      <c r="G19" s="7" t="str">
        <f>IF(F19="フラグ","boolean",IF(F19="文字列","text",IF(F19="整数","integer",IF(F19="実数","numeric",""))))</f>
        <v>integer</v>
      </c>
      <c r="H19" s="9"/>
      <c r="I19" s="10"/>
      <c r="J19" s="24"/>
      <c r="M19" s="4"/>
      <c r="N19" s="76"/>
      <c r="O19" s="76"/>
      <c r="P19" s="76" t="str">
        <f>IF(B19&lt;&gt;1,","&amp;D19,D19)</f>
        <v>,size</v>
      </c>
      <c r="Q19" s="76" t="str">
        <f t="shared" si="0"/>
        <v>INTEGER</v>
      </c>
      <c r="R19" s="76" t="str">
        <f t="shared" si="1"/>
        <v/>
      </c>
      <c r="S19" s="76" t="str">
        <f t="shared" si="2"/>
        <v/>
      </c>
      <c r="T19" s="76" t="str">
        <f t="shared" si="3"/>
        <v>-- 施設規模</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milscm_2023_009.sny_202310_mt_shisetsu.size IS '施設規模';</v>
      </c>
    </row>
    <row r="20" spans="1:52" s="25" customFormat="1">
      <c r="A20" s="4"/>
      <c r="B20" s="21">
        <f>ROW()-12</f>
        <v>8</v>
      </c>
      <c r="C20" s="13" t="s">
        <v>3849</v>
      </c>
      <c r="D20" s="13" t="s">
        <v>3851</v>
      </c>
      <c r="E20" s="7"/>
      <c r="F20" s="7" t="s">
        <v>3818</v>
      </c>
      <c r="G20" s="7" t="str">
        <f>IF(F20="フラグ","boolean",IF(F20="文字列","text",IF(F20="整数","integer",IF(F20="実数","numeric",""))))</f>
        <v>text</v>
      </c>
      <c r="H20" s="9"/>
      <c r="I20" s="10"/>
      <c r="J20" s="24"/>
      <c r="M20" s="4"/>
      <c r="N20" s="76"/>
      <c r="O20" s="76"/>
      <c r="P20" s="76" t="str">
        <f>IF(B20&lt;&gt;1,","&amp;D20,D20)</f>
        <v>,facility_riyo_start</v>
      </c>
      <c r="Q20" s="76" t="str">
        <f t="shared" ref="Q20" si="13">UPPER(G20)</f>
        <v>TEXT</v>
      </c>
      <c r="R20" s="76" t="str">
        <f t="shared" ref="R20" si="14">IF(H20&lt;&gt;"","default "&amp;IF(G20="text","'"&amp;H20&amp;"'",H20),"")</f>
        <v/>
      </c>
      <c r="S20" s="76" t="str">
        <f t="shared" si="2"/>
        <v/>
      </c>
      <c r="T20" s="76" t="str">
        <f t="shared" si="3"/>
        <v>-- 施設データ利用可能開始日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milscm_2023_009.sny_202310_mt_shisetsu.facility_riyo_start IS '施設データ利用可能開始日';</v>
      </c>
    </row>
    <row r="21" spans="1:52" s="25" customFormat="1" ht="19.5" thickBot="1">
      <c r="A21" s="4"/>
      <c r="B21" s="70">
        <f t="shared" si="8"/>
        <v>9</v>
      </c>
      <c r="C21" s="71" t="s">
        <v>3850</v>
      </c>
      <c r="D21" s="71" t="s">
        <v>3852</v>
      </c>
      <c r="E21" s="74"/>
      <c r="F21" s="72" t="s">
        <v>3818</v>
      </c>
      <c r="G21" s="72" t="str">
        <f t="shared" si="11"/>
        <v>text</v>
      </c>
      <c r="H21" s="73"/>
      <c r="I21" s="74"/>
      <c r="J21" s="75"/>
      <c r="M21" s="4"/>
      <c r="N21" s="76"/>
      <c r="O21" s="76"/>
      <c r="P21" s="76" t="str">
        <f t="shared" si="12"/>
        <v>,facility_riyo_end</v>
      </c>
      <c r="Q21" s="76" t="str">
        <f t="shared" si="0"/>
        <v>TEXT</v>
      </c>
      <c r="R21" s="76" t="str">
        <f t="shared" si="1"/>
        <v/>
      </c>
      <c r="S21" s="76" t="str">
        <f t="shared" si="2"/>
        <v/>
      </c>
      <c r="T21" s="76" t="str">
        <f t="shared" si="3"/>
        <v>-- 施設データ利用可能終了日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milscm_2023_009.sny_202310_mt_shisetsu.facility_riyo_end IS '施設データ利用可能終了日';</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ENT_21_03</v>
      </c>
      <c r="E6" s="240"/>
      <c r="F6" s="240"/>
      <c r="G6" s="240"/>
      <c r="H6" s="240"/>
      <c r="I6" s="240"/>
      <c r="J6" s="241"/>
    </row>
    <row r="7" spans="1:45">
      <c r="B7" s="229" t="s">
        <v>115</v>
      </c>
      <c r="C7" s="230"/>
      <c r="D7" s="231" t="s">
        <v>306</v>
      </c>
      <c r="E7" s="232"/>
      <c r="F7" s="232"/>
      <c r="G7" s="232"/>
      <c r="H7" s="232"/>
      <c r="I7" s="232"/>
      <c r="J7" s="233"/>
    </row>
    <row r="8" spans="1:45">
      <c r="B8" s="229" t="s">
        <v>116</v>
      </c>
      <c r="C8" s="230"/>
      <c r="D8" s="231" t="str">
        <f>エンティティ一覧!AE2&amp;"_"&amp;D5&amp;"_kanja"</f>
        <v>sny_202310_mt_kanja</v>
      </c>
      <c r="E8" s="232"/>
      <c r="F8" s="232"/>
      <c r="G8" s="232"/>
      <c r="H8" s="232"/>
      <c r="I8" s="232"/>
      <c r="J8" s="233"/>
    </row>
    <row r="9" spans="1:45" ht="19.5" customHeight="1" thickBot="1">
      <c r="B9" s="234" t="s">
        <v>117</v>
      </c>
      <c r="C9" s="235"/>
      <c r="D9" s="236" t="s">
        <v>4072</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milscm_2023_009.sny_202310_mt_kanja;</v>
      </c>
      <c r="O10" s="76"/>
      <c r="P10" s="76"/>
      <c r="Q10" s="76"/>
      <c r="R10" s="76"/>
      <c r="S10" s="76"/>
      <c r="T10" s="76"/>
      <c r="AJ10" s="76" t="str">
        <f>"ALTER TABLE ONLY "&amp;エンティティ一覧!$O$2&amp;"."&amp;D$8</f>
        <v>ALTER TABLE ONLY milscm_2023_009.sny_202310_mt_kanja</v>
      </c>
      <c r="AS10" s="76" t="str">
        <f>"ALTER TABLE "&amp;エンティティ一覧!$O$2&amp;"."&amp;D$8&amp;" OWNER TO pgmisgrp1;"</f>
        <v>ALTER TABLE milscm_2023_009.sny_202310_mt_kanja OWNER TO pgmisgrp1;</v>
      </c>
    </row>
    <row r="11" spans="1:45" ht="19.5" thickBot="1">
      <c r="B11" s="20" t="s">
        <v>118</v>
      </c>
      <c r="C11" s="19"/>
      <c r="D11" s="5"/>
      <c r="E11" s="5"/>
      <c r="F11" s="5"/>
      <c r="G11" s="5"/>
      <c r="H11" s="5"/>
      <c r="I11" s="5"/>
      <c r="J11" s="18"/>
      <c r="N11" s="76" t="str">
        <f>"CREATE TABLE  "&amp;エンティティ一覧!$O$2&amp;"."&amp;D$8</f>
        <v>CREATE TABLE  milscm_2023_009.sny_202310_mt_kanja</v>
      </c>
      <c r="O11" s="76"/>
      <c r="P11" s="76"/>
      <c r="Q11" s="76"/>
      <c r="R11" s="76"/>
      <c r="S11" s="76"/>
      <c r="T11" s="76"/>
      <c r="AJ11" s="76" t="str">
        <f>"ADD CONSTRAINT "&amp;D$8&amp;"_pkey PRIMARY KEY"</f>
        <v>ADD CONSTRAINT sny_202310_mt_kanja_pkey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 IS '患者マスタ';</v>
      </c>
    </row>
    <row r="13" spans="1:45" s="25" customFormat="1" ht="37.5">
      <c r="A13" s="4"/>
      <c r="B13" s="21">
        <f>ROW()-12</f>
        <v>1</v>
      </c>
      <c r="C13" s="13" t="s">
        <v>4073</v>
      </c>
      <c r="D13" s="13" t="s">
        <v>4074</v>
      </c>
      <c r="E13" s="7" t="s">
        <v>127</v>
      </c>
      <c r="F13" s="7" t="s">
        <v>201</v>
      </c>
      <c r="G13" s="7" t="str">
        <f>IF(F13="フラグ","boolean",IF(F13="文字列","text",IF(F13="整数","integer",IF(F13="実数","numeric",""))))</f>
        <v>text</v>
      </c>
      <c r="H13" s="9"/>
      <c r="I13" s="10" t="s">
        <v>127</v>
      </c>
      <c r="J13" s="24" t="s">
        <v>4076</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milscm_2023_009.sny_202310_mt_kanja.mask_id IS 'マスクID';</v>
      </c>
    </row>
    <row r="14" spans="1:45" s="25" customFormat="1">
      <c r="A14" s="4"/>
      <c r="B14" s="21">
        <f t="shared" ref="B14:B16" si="2">ROW()-12</f>
        <v>2</v>
      </c>
      <c r="C14" s="6" t="s">
        <v>137</v>
      </c>
      <c r="D14" s="6" t="s">
        <v>128</v>
      </c>
      <c r="E14" s="8"/>
      <c r="F14" s="7" t="s">
        <v>201</v>
      </c>
      <c r="G14" s="7" t="str">
        <f t="shared" ref="G14" si="3">IF(F14="フラグ","boolean",IF(F14="文字列","text",IF(F14="整数","integer",IF(F14="実数","numeric",""))))</f>
        <v>text</v>
      </c>
      <c r="H14" s="58"/>
      <c r="I14" s="23" t="s">
        <v>127</v>
      </c>
      <c r="J14" s="24"/>
      <c r="M14" s="4"/>
      <c r="N14" s="76"/>
      <c r="O14" s="76"/>
      <c r="P14" s="76" t="str">
        <f t="shared" ref="P14:P1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milscm_2023_009.sny_202310_mt_kanja.facility_id IS '施設ID';</v>
      </c>
    </row>
    <row r="15" spans="1:45" s="25" customFormat="1">
      <c r="A15" s="4"/>
      <c r="B15" s="21">
        <f t="shared" si="2"/>
        <v>3</v>
      </c>
      <c r="C15" s="6" t="s">
        <v>2404</v>
      </c>
      <c r="D15" s="6" t="s">
        <v>2405</v>
      </c>
      <c r="E15" s="8"/>
      <c r="F15" s="7" t="s">
        <v>201</v>
      </c>
      <c r="G15" s="7" t="str">
        <f t="shared" ref="G15" si="5">IF(F15="フラグ","boolean",IF(F15="文字列","text",IF(F15="整数","integer",IF(F15="実数","numeric",""))))</f>
        <v>text</v>
      </c>
      <c r="H15" s="58"/>
      <c r="I15" s="23"/>
      <c r="J15" s="24"/>
      <c r="M15" s="4"/>
      <c r="N15" s="76"/>
      <c r="O15" s="76"/>
      <c r="P15" s="76" t="str">
        <f t="shared" ref="P15" si="6">IF(B15&lt;&gt;1,","&amp;D15,D15)</f>
        <v>,facility_id_mml</v>
      </c>
      <c r="Q15" s="76" t="str">
        <f t="shared" ref="Q15" si="7">UPPER(G15)</f>
        <v>TEXT</v>
      </c>
      <c r="R15" s="76" t="str">
        <f t="shared" ref="R15" si="8">IF(H15&lt;&gt;"","default "&amp;IF(G15="text","'"&amp;H15&amp;"'",H15),"")</f>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milscm_2023_009.sny_202310_mt_kanja.facility_id_mml IS '施設ID（MML）';</v>
      </c>
    </row>
    <row r="16" spans="1:45" s="25" customFormat="1" ht="19.5" thickBot="1">
      <c r="A16" s="4"/>
      <c r="B16" s="70">
        <f t="shared" si="2"/>
        <v>4</v>
      </c>
      <c r="C16" s="71" t="s">
        <v>4075</v>
      </c>
      <c r="D16" s="71" t="s">
        <v>1847</v>
      </c>
      <c r="E16" s="74"/>
      <c r="F16" s="72" t="s">
        <v>201</v>
      </c>
      <c r="G16" s="72" t="str">
        <f t="shared" ref="G16" si="9">IF(F16="フラグ","boolean",IF(F16="文字列","text",IF(F16="整数","integer",IF(F16="実数","numeric",""))))</f>
        <v>text</v>
      </c>
      <c r="H16" s="73"/>
      <c r="I16" s="74" t="s">
        <v>127</v>
      </c>
      <c r="J16" s="75"/>
      <c r="M16" s="4"/>
      <c r="N16" s="76"/>
      <c r="O16" s="76"/>
      <c r="P16" s="76" t="str">
        <f t="shared" si="4"/>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ENT_21_04</v>
      </c>
      <c r="E6" s="240"/>
      <c r="F6" s="240"/>
      <c r="G6" s="240"/>
      <c r="H6" s="240"/>
      <c r="I6" s="240"/>
      <c r="J6" s="241"/>
    </row>
    <row r="7" spans="1:45">
      <c r="B7" s="229" t="s">
        <v>115</v>
      </c>
      <c r="C7" s="230"/>
      <c r="D7" s="231" t="s">
        <v>307</v>
      </c>
      <c r="E7" s="232"/>
      <c r="F7" s="232"/>
      <c r="G7" s="232"/>
      <c r="H7" s="232"/>
      <c r="I7" s="232"/>
      <c r="J7" s="233"/>
    </row>
    <row r="8" spans="1:45">
      <c r="B8" s="229" t="s">
        <v>116</v>
      </c>
      <c r="C8" s="230"/>
      <c r="D8" s="231" t="str">
        <f>エンティティ一覧!AE2&amp;"_"&amp;D5&amp;"_shikkan"</f>
        <v>sny_202310_mt_shikkan</v>
      </c>
      <c r="E8" s="232"/>
      <c r="F8" s="232"/>
      <c r="G8" s="232"/>
      <c r="H8" s="232"/>
      <c r="I8" s="232"/>
      <c r="J8" s="233"/>
    </row>
    <row r="9" spans="1:45" ht="19.5" customHeight="1" thickBot="1">
      <c r="B9" s="234" t="s">
        <v>117</v>
      </c>
      <c r="C9" s="235"/>
      <c r="D9" s="236" t="str">
        <f>D7&amp;"情報を格納するテーブル"</f>
        <v>疾患マスタ情報を格納するテーブル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milscm_2023_009.sny_202310_mt_shikkan;</v>
      </c>
      <c r="O10" s="76"/>
      <c r="P10" s="76"/>
      <c r="Q10" s="76"/>
      <c r="R10" s="76"/>
      <c r="S10" s="76"/>
      <c r="T10" s="76"/>
      <c r="AJ10" s="76" t="str">
        <f>"ALTER TABLE ONLY "&amp;エンティティ一覧!$O$2&amp;"."&amp;D$8</f>
        <v>ALTER TABLE ONLY milscm_2023_009.sny_202310_mt_shikkan</v>
      </c>
      <c r="AS10" s="76" t="str">
        <f>"ALTER TABLE "&amp;エンティティ一覧!$O$2&amp;"."&amp;D$8&amp;" OWNER TO pgmisgrp1;"</f>
        <v>ALTER TABLE milscm_2023_009.sny_202310_mt_shikkan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milscm_2023_009.sny_202310_mt_shikkan</v>
      </c>
      <c r="O11" s="76"/>
      <c r="P11" s="76"/>
      <c r="Q11" s="76"/>
      <c r="R11" s="76"/>
      <c r="S11" s="76"/>
      <c r="T11" s="76"/>
      <c r="AJ11" s="76" t="str">
        <f>"ADD CONSTRAINT "&amp;D$8&amp;"_pkey PRIMARY KEY"</f>
        <v>ADD CONSTRAINT sny_202310_mt_shikkan_pkey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milscm_2023_009.sny_202310_mt_shikkan IS '疾患マスタ';</v>
      </c>
    </row>
    <row r="13" spans="1:45" s="25" customFormat="1">
      <c r="A13" s="4"/>
      <c r="B13" s="21">
        <f>ROW()-12</f>
        <v>1</v>
      </c>
      <c r="C13" s="6" t="s">
        <v>897</v>
      </c>
      <c r="D13" s="6" t="s">
        <v>894</v>
      </c>
      <c r="E13" s="8"/>
      <c r="F13" s="7" t="s">
        <v>737</v>
      </c>
      <c r="G13" s="7" t="str">
        <f t="shared" ref="G13:G16" si="0">IF(F13="フラグ","boolean",IF(F13="文字列","text",IF(F13="整数","integer",IF(F13="実数","numeric",""))))</f>
        <v>text</v>
      </c>
      <c r="H13" s="67"/>
      <c r="I13" s="8" t="s">
        <v>127</v>
      </c>
      <c r="J13" s="11"/>
      <c r="M13" s="4"/>
      <c r="N13" s="76"/>
      <c r="O13" s="76"/>
      <c r="P13" s="76" t="str">
        <f>IF(B13&lt;&gt;1,","&amp;D13,D13)</f>
        <v>icd10_s_cd</v>
      </c>
      <c r="Q13" s="76" t="str">
        <f>UPPER(G13)</f>
        <v>TEXT</v>
      </c>
      <c r="R13" s="76" t="str">
        <f>IF(H13&lt;&gt;"","default "&amp;IF(G13="text","'"&amp;H13&amp;"'",H13),"")</f>
        <v/>
      </c>
      <c r="S13" s="76" t="str">
        <f>IF(I13="○","NOT NULL","")</f>
        <v>NOT NULL</v>
      </c>
      <c r="T13" s="76" t="str">
        <f>"-- "&amp;C13</f>
        <v>-- ICD10小区分</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milscm_2023_009.sny_202310_mt_shikkan.icd10_s_cd IS 'ICD10小区分';</v>
      </c>
    </row>
    <row r="14" spans="1:45" s="25" customFormat="1">
      <c r="A14" s="4"/>
      <c r="B14" s="21">
        <f t="shared" ref="B14:B18" si="1">ROW()-12</f>
        <v>2</v>
      </c>
      <c r="C14" s="6" t="s">
        <v>896</v>
      </c>
      <c r="D14" s="6" t="s">
        <v>895</v>
      </c>
      <c r="E14" s="8"/>
      <c r="F14" s="7" t="s">
        <v>737</v>
      </c>
      <c r="G14" s="7" t="str">
        <f t="shared" si="0"/>
        <v>text</v>
      </c>
      <c r="H14" s="67"/>
      <c r="I14" s="8" t="s">
        <v>127</v>
      </c>
      <c r="J14" s="11"/>
      <c r="M14" s="4"/>
      <c r="N14" s="76"/>
      <c r="O14" s="76"/>
      <c r="P14" s="76" t="str">
        <f>IF(B14&lt;&gt;1,","&amp;D14,D14)</f>
        <v>,icd10_s_name</v>
      </c>
      <c r="Q14" s="76" t="str">
        <f>UPPER(G14)</f>
        <v>TEXT</v>
      </c>
      <c r="R14" s="76" t="str">
        <f>IF(H14&lt;&gt;"","default "&amp;IF(G14="text","'"&amp;H14&amp;"'",H14),"")</f>
        <v/>
      </c>
      <c r="S14" s="76" t="str">
        <f>IF(I14="○","NOT NULL","")</f>
        <v>NOT NULL</v>
      </c>
      <c r="T14" s="76" t="str">
        <f>"-- "&amp;C14</f>
        <v>-- ICD10小区分名称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milscm_2023_009.sny_202310_mt_shikkan.icd10_s_name IS 'ICD10小区分名称';</v>
      </c>
    </row>
    <row r="15" spans="1:45" s="25" customFormat="1">
      <c r="A15" s="4"/>
      <c r="B15" s="21">
        <f t="shared" si="1"/>
        <v>3</v>
      </c>
      <c r="C15" s="6" t="s">
        <v>3855</v>
      </c>
      <c r="D15" s="6" t="s">
        <v>3856</v>
      </c>
      <c r="E15" s="8" t="s">
        <v>127</v>
      </c>
      <c r="F15" s="7" t="s">
        <v>737</v>
      </c>
      <c r="G15" s="7" t="str">
        <f t="shared" si="0"/>
        <v>text</v>
      </c>
      <c r="H15" s="67"/>
      <c r="I15" s="8" t="s">
        <v>127</v>
      </c>
      <c r="J15" s="11"/>
      <c r="M15" s="4"/>
      <c r="N15" s="76"/>
      <c r="O15" s="76"/>
      <c r="P15" s="76" t="str">
        <f>IF(B15&lt;&gt;1,","&amp;D15,D15)</f>
        <v>,icd10_ss_cd</v>
      </c>
      <c r="Q15" s="76" t="str">
        <f>UPPER(G15)</f>
        <v>TEXT</v>
      </c>
      <c r="R15" s="76" t="str">
        <f>IF(H15&lt;&gt;"","default "&amp;IF(G15="text","'"&amp;H15&amp;"'",H15),"")</f>
        <v/>
      </c>
      <c r="S15" s="76" t="str">
        <f>IF(I15="○","NOT NULL","")</f>
        <v>NOT NULL</v>
      </c>
      <c r="T15" s="76" t="str">
        <f>"-- "&amp;C15</f>
        <v>-- ICD10細区分</v>
      </c>
      <c r="U15" s="4"/>
      <c r="AA15" s="4"/>
      <c r="AB15" s="4"/>
      <c r="AC15" s="4"/>
      <c r="AD15" s="4"/>
      <c r="AE15" s="4"/>
      <c r="AF15" s="4"/>
      <c r="AG15" s="4"/>
      <c r="AH15" s="4"/>
      <c r="AI15" s="4"/>
      <c r="AJ15" s="76" t="str">
        <f>IF(E15="○",IF(COUNTA(E$14:E15)=1,"",",")&amp;D15,"")</f>
        <v>icd10_ss_cd</v>
      </c>
      <c r="AK15" s="4"/>
      <c r="AL15" s="4"/>
      <c r="AM15" s="4"/>
      <c r="AN15" s="4"/>
      <c r="AO15" s="4"/>
      <c r="AP15" s="4"/>
      <c r="AQ15" s="4"/>
      <c r="AR15" s="4"/>
      <c r="AS15" s="76" t="str">
        <f>"COMMENT ON COLUMN "&amp;エンティティ一覧!$O$2&amp;"."&amp;D$8&amp;"."&amp;D15&amp;" IS '"&amp;C15&amp;"';"</f>
        <v>COMMENT ON COLUMN milscm_2023_009.sny_202310_mt_shikkan.icd10_ss_cd IS 'ICD10細区分';</v>
      </c>
    </row>
    <row r="16" spans="1:45" s="25" customFormat="1">
      <c r="A16" s="4"/>
      <c r="B16" s="21">
        <f t="shared" si="1"/>
        <v>4</v>
      </c>
      <c r="C16" s="6" t="s">
        <v>4077</v>
      </c>
      <c r="D16" s="6" t="s">
        <v>3857</v>
      </c>
      <c r="E16" s="8"/>
      <c r="F16" s="7" t="s">
        <v>737</v>
      </c>
      <c r="G16" s="7" t="str">
        <f t="shared" si="0"/>
        <v>text</v>
      </c>
      <c r="H16" s="67"/>
      <c r="I16" s="8" t="s">
        <v>127</v>
      </c>
      <c r="J16" s="11"/>
      <c r="M16" s="4"/>
      <c r="N16" s="76"/>
      <c r="O16" s="76"/>
      <c r="P16" s="76" t="str">
        <f>IF(B16&lt;&gt;1,","&amp;D16,D16)</f>
        <v>,icd10_ss_name</v>
      </c>
      <c r="Q16" s="76" t="str">
        <f>UPPER(G16)</f>
        <v>TEXT</v>
      </c>
      <c r="R16" s="76" t="str">
        <f>IF(H16&lt;&gt;"","default "&amp;IF(G16="text","'"&amp;H16&amp;"'",H16),"")</f>
        <v/>
      </c>
      <c r="S16" s="76" t="str">
        <f>IF(I16="○","NOT NULL","")</f>
        <v>NOT NULL</v>
      </c>
      <c r="T16" s="76" t="str">
        <f>"-- "&amp;C16</f>
        <v>-- ICD10細区分名称</v>
      </c>
      <c r="U16" s="4"/>
      <c r="AA16" s="4"/>
      <c r="AB16" s="4"/>
      <c r="AC16" s="4"/>
      <c r="AD16" s="4"/>
      <c r="AE16" s="4"/>
      <c r="AF16" s="4"/>
      <c r="AG16" s="4"/>
      <c r="AH16" s="4"/>
      <c r="AI16" s="4"/>
      <c r="AJ16" s="76" t="str">
        <f>IF(E16="○",IF(COUNTA(E$14:E16)=1,"",",")&amp;D16,"")</f>
        <v/>
      </c>
      <c r="AK16" s="4"/>
      <c r="AL16" s="4"/>
      <c r="AM16" s="4"/>
      <c r="AN16" s="4"/>
      <c r="AO16" s="4"/>
      <c r="AP16" s="4"/>
      <c r="AQ16" s="4"/>
      <c r="AR16" s="4"/>
      <c r="AS16" s="76" t="str">
        <f>"COMMENT ON COLUMN "&amp;エンティティ一覧!$O$2&amp;"."&amp;D$8&amp;"."&amp;D16&amp;" IS '"&amp;C16&amp;"';"</f>
        <v>COMMENT ON COLUMN milscm_2023_009.sny_202310_mt_shikkan.icd10_ss_name IS 'ICD10細区分名称';</v>
      </c>
    </row>
    <row r="17" spans="1:52" s="25" customFormat="1">
      <c r="A17" s="4"/>
      <c r="B17" s="21">
        <f>ROW()-12</f>
        <v>5</v>
      </c>
      <c r="C17" s="6" t="s">
        <v>3791</v>
      </c>
      <c r="D17" s="6" t="s">
        <v>3792</v>
      </c>
      <c r="E17" s="8"/>
      <c r="F17" s="7" t="s">
        <v>737</v>
      </c>
      <c r="G17" s="7" t="str">
        <f>IF(F17="フラグ","boolean",IF(F17="文字列","text",IF(F17="整数","integer",IF(F17="実数","numeric",""))))</f>
        <v>text</v>
      </c>
      <c r="H17" s="67"/>
      <c r="I17" s="8" t="s">
        <v>127</v>
      </c>
      <c r="J17" s="11"/>
      <c r="M17" s="4"/>
      <c r="N17" s="76"/>
      <c r="O17" s="76"/>
      <c r="P17" s="76" t="str">
        <f>IF(B17&lt;&gt;1,","&amp;D17,D17)</f>
        <v>,disp_name</v>
      </c>
      <c r="Q17" s="76" t="str">
        <f>UPPER(G17)</f>
        <v>TEXT</v>
      </c>
      <c r="R17" s="76" t="str">
        <f>IF(H17&lt;&gt;"","default "&amp;IF(G17="text","'"&amp;H17&amp;"'",H17),"")</f>
        <v/>
      </c>
      <c r="S17" s="76" t="str">
        <f>IF(I17="○","NOT NULL","")</f>
        <v>NOT NULL</v>
      </c>
      <c r="T17" s="76" t="str">
        <f>"-- "&amp;C17</f>
        <v>-- 表示名</v>
      </c>
      <c r="U17" s="4"/>
      <c r="AA17" s="4"/>
      <c r="AB17" s="4"/>
      <c r="AC17" s="4"/>
      <c r="AD17" s="4"/>
      <c r="AE17" s="4"/>
      <c r="AF17" s="4"/>
      <c r="AG17" s="4"/>
      <c r="AH17" s="4"/>
      <c r="AI17" s="4"/>
      <c r="AJ17" s="76" t="str">
        <f>IF(E17="○",IF(COUNTA(E$17:E17)=1,"",",")&amp;D17,"")</f>
        <v/>
      </c>
      <c r="AK17" s="4"/>
      <c r="AL17" s="4"/>
      <c r="AM17" s="4"/>
      <c r="AN17" s="4"/>
      <c r="AO17" s="4"/>
      <c r="AP17" s="4"/>
      <c r="AQ17" s="4"/>
      <c r="AR17" s="4"/>
      <c r="AS17" s="76" t="str">
        <f>"COMMENT ON COLUMN "&amp;エンティティ一覧!$O$2&amp;"."&amp;D$8&amp;"."&amp;D17&amp;" IS '"&amp;C17&amp;"';"</f>
        <v>COMMENT ON COLUMN milscm_2023_009.sny_202310_mt_shikkan.disp_name IS '表示名';</v>
      </c>
    </row>
    <row r="18" spans="1:52" s="25" customFormat="1" ht="19.5" thickBot="1">
      <c r="A18" s="4"/>
      <c r="B18" s="66">
        <f t="shared" si="1"/>
        <v>6</v>
      </c>
      <c r="C18" s="28" t="s">
        <v>4078</v>
      </c>
      <c r="D18" s="28" t="s">
        <v>4079</v>
      </c>
      <c r="E18" s="29"/>
      <c r="F18" s="56" t="s">
        <v>4284</v>
      </c>
      <c r="G18" s="56" t="str">
        <f t="shared" ref="G18" si="2">IF(F18="フラグ","boolean",IF(F18="文字列","text",IF(F18="整数","integer",IF(F18="実数","numeric",""))))</f>
        <v>boolean</v>
      </c>
      <c r="H18" s="68"/>
      <c r="I18" s="29" t="s">
        <v>127</v>
      </c>
      <c r="J18" s="69" t="s">
        <v>4080</v>
      </c>
      <c r="N18" s="76"/>
      <c r="O18" s="76"/>
      <c r="P18" s="76" t="str">
        <f t="shared" ref="P18" si="3">IF(B18&lt;&gt;1,","&amp;D18,D18)</f>
        <v>,main_f</v>
      </c>
      <c r="Q18" s="76" t="str">
        <f t="shared" ref="Q18" si="4">UPPER(G18)</f>
        <v>BOOLEAN</v>
      </c>
      <c r="R18" s="76" t="str">
        <f t="shared" ref="R18" si="5">IF(H18&lt;&gt;"","default "&amp;IF(G18="text","'"&amp;H18&amp;"'",H18),"")</f>
        <v/>
      </c>
      <c r="S18" s="76" t="str">
        <f t="shared" ref="S18" si="6">IF(I18="○","NOT NULL","")</f>
        <v>NOT NULL</v>
      </c>
      <c r="T18" s="76" t="str">
        <f t="shared" ref="T18" si="7">"-- "&amp;C18</f>
        <v>-- 主傷病フラグ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milscm_2023_009.sny_202310_mt_shikkan.main_f IS '主傷病フラグ';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ENT_21_05</v>
      </c>
      <c r="E6" s="240"/>
      <c r="F6" s="240"/>
      <c r="G6" s="240"/>
      <c r="H6" s="240"/>
      <c r="I6" s="240"/>
      <c r="J6" s="241"/>
    </row>
    <row r="7" spans="1:45">
      <c r="B7" s="229" t="s">
        <v>115</v>
      </c>
      <c r="C7" s="230"/>
      <c r="D7" s="231" t="s">
        <v>4089</v>
      </c>
      <c r="E7" s="232"/>
      <c r="F7" s="232"/>
      <c r="G7" s="232"/>
      <c r="H7" s="232"/>
      <c r="I7" s="232"/>
      <c r="J7" s="233"/>
    </row>
    <row r="8" spans="1:45">
      <c r="B8" s="229" t="s">
        <v>116</v>
      </c>
      <c r="C8" s="230"/>
      <c r="D8" s="231" t="str">
        <f>エンティティ一覧!AE2&amp;"_"&amp;D5&amp;"_yakuzai"</f>
        <v>sny_202310_mt_yakuzai</v>
      </c>
      <c r="E8" s="232"/>
      <c r="F8" s="232"/>
      <c r="G8" s="232"/>
      <c r="H8" s="232"/>
      <c r="I8" s="232"/>
      <c r="J8" s="233"/>
    </row>
    <row r="9" spans="1:45" ht="19.5" customHeight="1" thickBot="1">
      <c r="B9" s="234" t="s">
        <v>117</v>
      </c>
      <c r="C9" s="235"/>
      <c r="D9" s="236" t="str">
        <f>D7&amp;"情報を格納するテーブル"</f>
        <v>薬剤マスタ情報を格納するテーブル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milscm_2023_009.sny_202310_mt_yakuzai;</v>
      </c>
      <c r="O10" s="76"/>
      <c r="P10" s="76"/>
      <c r="Q10" s="76"/>
      <c r="R10" s="76"/>
      <c r="S10" s="76"/>
      <c r="T10" s="76"/>
      <c r="AJ10" s="76" t="str">
        <f>"ALTER TABLE ONLY "&amp;エンティティ一覧!$O$2&amp;"."&amp;D$8</f>
        <v>ALTER TABLE ONLY milscm_2023_009.sny_202310_mt_yakuzai</v>
      </c>
      <c r="AS10" s="76" t="str">
        <f>"ALTER TABLE "&amp;エンティティ一覧!$O$2&amp;"."&amp;D$8&amp;" OWNER TO pgmisgrp1;"</f>
        <v>ALTER TABLE milscm_2023_009.sny_202310_mt_yakuzai OWNER TO pgmisgrp1;</v>
      </c>
    </row>
    <row r="11" spans="1:45" ht="19.5" thickBot="1">
      <c r="B11" s="20" t="s">
        <v>118</v>
      </c>
      <c r="C11" s="19"/>
      <c r="D11" s="5"/>
      <c r="E11" s="5"/>
      <c r="F11" s="5"/>
      <c r="G11" s="5"/>
      <c r="H11" s="5"/>
      <c r="I11" s="5"/>
      <c r="J11" s="18"/>
      <c r="N11" s="76" t="str">
        <f>"CREATE TABLE  "&amp;エンティティ一覧!$O$2&amp;"."&amp;D$8</f>
        <v>CREATE TABLE  milscm_2023_009.sny_202310_mt_yakuzai</v>
      </c>
      <c r="O11" s="76"/>
      <c r="P11" s="76"/>
      <c r="Q11" s="76"/>
      <c r="R11" s="76"/>
      <c r="S11" s="76"/>
      <c r="T11" s="76"/>
      <c r="AJ11" s="76" t="str">
        <f>"ADD CONSTRAINT "&amp;D$8&amp;"_pkey PRIMARY KEY"</f>
        <v>ADD CONSTRAINT sny_202310_mt_yakuzai_pkey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milscm_2023_009.sny_202310_mt_yakuzai IS '薬剤マスタ';</v>
      </c>
    </row>
    <row r="13" spans="1:45" s="25" customFormat="1">
      <c r="A13" s="4"/>
      <c r="B13" s="21">
        <f t="shared" ref="B13:B21" si="0">ROW()-12</f>
        <v>1</v>
      </c>
      <c r="C13" s="6" t="s">
        <v>1159</v>
      </c>
      <c r="D13" s="6" t="s">
        <v>4081</v>
      </c>
      <c r="E13" s="8" t="s">
        <v>127</v>
      </c>
      <c r="F13" s="8" t="s">
        <v>737</v>
      </c>
      <c r="G13" s="7" t="str">
        <f t="shared" ref="G13:G21" si="1">IF(F13="フラグ","boolean",IF(F13="文字列","text",IF(F13="整数","integer",IF(F13="実数","numeric",""))))</f>
        <v>text</v>
      </c>
      <c r="H13" s="67"/>
      <c r="I13" s="8" t="s">
        <v>127</v>
      </c>
      <c r="J13" s="11"/>
      <c r="M13" s="4"/>
      <c r="N13" s="76"/>
      <c r="O13" s="76"/>
      <c r="P13" s="76" t="str">
        <f t="shared" ref="P13:P21" si="2">IF(B13&lt;&gt;1,","&amp;D13,D13)</f>
        <v>iyakuhin_cd</v>
      </c>
      <c r="Q13" s="76" t="str">
        <f t="shared" ref="Q13:Q21" si="3">UPPER(G13)</f>
        <v>TEXT</v>
      </c>
      <c r="R13" s="76" t="str">
        <f t="shared" ref="R13:R21" si="4">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milscm_2023_009.sny_202310_mt_yakuzai.iyakuhin_cd IS '医薬品コード';</v>
      </c>
    </row>
    <row r="14" spans="1:45" s="25" customFormat="1">
      <c r="A14" s="4"/>
      <c r="B14" s="21">
        <f t="shared" si="0"/>
        <v>2</v>
      </c>
      <c r="C14" s="98" t="s">
        <v>4082</v>
      </c>
      <c r="D14" s="98" t="s">
        <v>4083</v>
      </c>
      <c r="E14" s="99"/>
      <c r="F14" s="99" t="s">
        <v>3818</v>
      </c>
      <c r="G14" s="7" t="str">
        <f t="shared" si="1"/>
        <v>text</v>
      </c>
      <c r="H14" s="67"/>
      <c r="I14" s="8" t="s">
        <v>127</v>
      </c>
      <c r="J14" s="11"/>
      <c r="M14" s="4"/>
      <c r="N14" s="76"/>
      <c r="O14" s="76"/>
      <c r="P14" s="76" t="str">
        <f t="shared" si="2"/>
        <v>,iyakuhin_name</v>
      </c>
      <c r="Q14" s="76" t="str">
        <f t="shared" si="3"/>
        <v>TEXT</v>
      </c>
      <c r="R14" s="76" t="str">
        <f t="shared" si="4"/>
        <v/>
      </c>
      <c r="S14" s="76" t="str">
        <f>IF(I14="○","NOT NULL","")</f>
        <v>NOT NULL</v>
      </c>
      <c r="T14" s="76" t="str">
        <f>"-- "&amp;C14</f>
        <v>-- 医薬品名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milscm_2023_009.sny_202310_mt_yakuzai.iyakuhin_name IS '医薬品名';</v>
      </c>
    </row>
    <row r="15" spans="1:45" s="25" customFormat="1">
      <c r="A15" s="4"/>
      <c r="B15" s="21">
        <f t="shared" si="0"/>
        <v>3</v>
      </c>
      <c r="C15" s="98" t="s">
        <v>4084</v>
      </c>
      <c r="D15" s="98" t="s">
        <v>4085</v>
      </c>
      <c r="E15" s="99"/>
      <c r="F15" s="99" t="s">
        <v>3818</v>
      </c>
      <c r="G15" s="7" t="str">
        <f t="shared" si="1"/>
        <v>text</v>
      </c>
      <c r="H15" s="67"/>
      <c r="I15" s="8" t="s">
        <v>127</v>
      </c>
      <c r="J15" s="11"/>
      <c r="N15" s="76"/>
      <c r="O15" s="76"/>
      <c r="P15" s="76" t="str">
        <f t="shared" si="2"/>
        <v>,disp_name</v>
      </c>
      <c r="Q15" s="76" t="str">
        <f t="shared" si="3"/>
        <v>TEXT</v>
      </c>
      <c r="R15" s="76" t="str">
        <f t="shared" si="4"/>
        <v/>
      </c>
      <c r="S15" s="76" t="str">
        <f t="shared" ref="S15:S21" si="5">IF(I15="○","NOT NULL","")</f>
        <v>NOT NULL</v>
      </c>
      <c r="T15" s="76" t="str">
        <f t="shared" ref="T15:T21" si="6">"--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milscm_2023_009.sny_202310_mt_yakuzai.disp_name IS '表示名';</v>
      </c>
    </row>
    <row r="16" spans="1:45" s="25" customFormat="1">
      <c r="A16" s="4"/>
      <c r="B16" s="21">
        <f t="shared" si="0"/>
        <v>4</v>
      </c>
      <c r="C16" s="6" t="s">
        <v>2032</v>
      </c>
      <c r="D16" s="6" t="s">
        <v>2033</v>
      </c>
      <c r="E16" s="8"/>
      <c r="F16" s="7" t="s">
        <v>4086</v>
      </c>
      <c r="G16" s="7" t="str">
        <f t="shared" si="1"/>
        <v>text</v>
      </c>
      <c r="H16" s="67"/>
      <c r="I16" s="8" t="s">
        <v>127</v>
      </c>
      <c r="J16" s="11"/>
      <c r="N16" s="76"/>
      <c r="O16" s="76"/>
      <c r="P16" s="76" t="str">
        <f t="shared" si="2"/>
        <v>,haigozai_f</v>
      </c>
      <c r="Q16" s="76" t="str">
        <f t="shared" si="3"/>
        <v>TEXT</v>
      </c>
      <c r="R16" s="76" t="str">
        <f t="shared" si="4"/>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milscm_2023_009.sny_202310_mt_yakuzai.haigozai_f IS '配合剤フラグ';</v>
      </c>
    </row>
    <row r="17" spans="1:52" s="25" customFormat="1">
      <c r="A17" s="4"/>
      <c r="B17" s="21">
        <f t="shared" si="0"/>
        <v>5</v>
      </c>
      <c r="C17" s="6" t="s">
        <v>2036</v>
      </c>
      <c r="D17" s="6" t="s">
        <v>2684</v>
      </c>
      <c r="E17" s="8" t="s">
        <v>127</v>
      </c>
      <c r="F17" s="7" t="s">
        <v>4086</v>
      </c>
      <c r="G17" s="7" t="str">
        <f t="shared" si="1"/>
        <v>text</v>
      </c>
      <c r="H17" s="67"/>
      <c r="I17" s="8" t="s">
        <v>127</v>
      </c>
      <c r="J17" s="11"/>
      <c r="N17" s="76"/>
      <c r="O17" s="76"/>
      <c r="P17" s="76" t="str">
        <f t="shared" si="2"/>
        <v>,seibun_cd</v>
      </c>
      <c r="Q17" s="76" t="str">
        <f t="shared" si="3"/>
        <v>TEXT</v>
      </c>
      <c r="R17" s="76" t="str">
        <f t="shared" si="4"/>
        <v/>
      </c>
      <c r="S17" s="76" t="str">
        <f t="shared" si="5"/>
        <v>NOT NULL</v>
      </c>
      <c r="T17" s="76" t="str">
        <f t="shared" si="6"/>
        <v>-- 成分コード</v>
      </c>
      <c r="U17" s="4"/>
      <c r="AA17" s="4"/>
      <c r="AB17" s="4"/>
      <c r="AC17" s="4"/>
      <c r="AD17" s="4"/>
      <c r="AE17" s="4"/>
      <c r="AF17" s="4"/>
      <c r="AG17" s="4"/>
      <c r="AH17" s="4"/>
      <c r="AI17" s="4"/>
      <c r="AJ17" s="76" t="str">
        <f>IF(E17="○",IF(COUNTA(E$13:E17)=1,"",",")&amp;D17,"")</f>
        <v>,seibun_cd</v>
      </c>
      <c r="AK17" s="4"/>
      <c r="AL17" s="4"/>
      <c r="AM17" s="4"/>
      <c r="AN17" s="4"/>
      <c r="AO17" s="4"/>
      <c r="AP17" s="4"/>
      <c r="AQ17" s="4"/>
      <c r="AR17" s="4"/>
      <c r="AS17" s="76" t="str">
        <f>"COMMENT ON COLUMN "&amp;エンティティ一覧!$O$2&amp;"."&amp;D$8&amp;"."&amp;D17&amp;" IS '"&amp;C17&amp;"';"</f>
        <v>COMMENT ON COLUMN milscm_2023_009.sny_202310_mt_yakuzai.seibun_cd IS '成分コード';</v>
      </c>
    </row>
    <row r="18" spans="1:52" s="25" customFormat="1">
      <c r="A18" s="4"/>
      <c r="B18" s="21">
        <f t="shared" si="0"/>
        <v>6</v>
      </c>
      <c r="C18" s="6" t="s">
        <v>2061</v>
      </c>
      <c r="D18" s="6" t="s">
        <v>2062</v>
      </c>
      <c r="E18" s="8"/>
      <c r="F18" s="7" t="s">
        <v>4086</v>
      </c>
      <c r="G18" s="7" t="str">
        <f t="shared" si="1"/>
        <v>text</v>
      </c>
      <c r="H18" s="67"/>
      <c r="I18" s="8" t="s">
        <v>127</v>
      </c>
      <c r="J18" s="11"/>
      <c r="N18" s="76"/>
      <c r="O18" s="76"/>
      <c r="P18" s="76" t="str">
        <f t="shared" si="2"/>
        <v>,seibun_name</v>
      </c>
      <c r="Q18" s="76" t="str">
        <f t="shared" si="3"/>
        <v>TEXT</v>
      </c>
      <c r="R18" s="76" t="str">
        <f t="shared" si="4"/>
        <v/>
      </c>
      <c r="S18" s="76" t="str">
        <f t="shared" si="5"/>
        <v>NOT NULL</v>
      </c>
      <c r="T18" s="76" t="str">
        <f t="shared" si="6"/>
        <v>-- 成分名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milscm_2023_009.sny_202310_mt_yakuzai.seibun_name IS '成分名';</v>
      </c>
    </row>
    <row r="19" spans="1:52" s="25" customFormat="1">
      <c r="A19" s="4"/>
      <c r="B19" s="21">
        <f t="shared" si="0"/>
        <v>7</v>
      </c>
      <c r="C19" s="6" t="s">
        <v>2038</v>
      </c>
      <c r="D19" s="6" t="s">
        <v>2039</v>
      </c>
      <c r="E19" s="8"/>
      <c r="F19" s="7" t="s">
        <v>3841</v>
      </c>
      <c r="G19" s="7" t="str">
        <f t="shared" si="1"/>
        <v>numeric</v>
      </c>
      <c r="H19" s="67"/>
      <c r="I19" s="8"/>
      <c r="J19" s="11"/>
      <c r="N19" s="76"/>
      <c r="O19" s="76"/>
      <c r="P19" s="76" t="str">
        <f t="shared" si="2"/>
        <v>,seibunryo</v>
      </c>
      <c r="Q19" s="76" t="str">
        <f t="shared" si="3"/>
        <v>NUMERIC</v>
      </c>
      <c r="R19" s="76" t="str">
        <f t="shared" si="4"/>
        <v/>
      </c>
      <c r="S19" s="76" t="str">
        <f t="shared" si="5"/>
        <v/>
      </c>
      <c r="T19" s="76" t="str">
        <f t="shared" si="6"/>
        <v>-- 成分量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milscm_2023_009.sny_202310_mt_yakuzai.seibunryo IS '成分量';</v>
      </c>
    </row>
    <row r="20" spans="1:52" s="25" customFormat="1">
      <c r="A20" s="4"/>
      <c r="B20" s="21">
        <f t="shared" si="0"/>
        <v>8</v>
      </c>
      <c r="C20" s="6" t="s">
        <v>2040</v>
      </c>
      <c r="D20" s="6" t="s">
        <v>2685</v>
      </c>
      <c r="E20" s="8"/>
      <c r="F20" s="7" t="s">
        <v>4086</v>
      </c>
      <c r="G20" s="7" t="str">
        <f t="shared" si="1"/>
        <v>text</v>
      </c>
      <c r="H20" s="67"/>
      <c r="I20" s="8"/>
      <c r="J20" s="11"/>
      <c r="N20" s="76"/>
      <c r="O20" s="76"/>
      <c r="P20" s="76" t="str">
        <f t="shared" si="2"/>
        <v>,seibun_unit_cd</v>
      </c>
      <c r="Q20" s="76" t="str">
        <f t="shared" si="3"/>
        <v>TEXT</v>
      </c>
      <c r="R20" s="76" t="str">
        <f t="shared" si="4"/>
        <v/>
      </c>
      <c r="S20" s="76" t="str">
        <f t="shared" si="5"/>
        <v/>
      </c>
      <c r="T20" s="76" t="str">
        <f t="shared" si="6"/>
        <v>-- 成分単位コード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milscm_2023_009.sny_202310_mt_yakuzai.seibun_unit_cd IS '成分単位コード';</v>
      </c>
    </row>
    <row r="21" spans="1:52" s="25" customFormat="1" ht="19.5" thickBot="1">
      <c r="A21" s="4"/>
      <c r="B21" s="66">
        <f t="shared" si="0"/>
        <v>9</v>
      </c>
      <c r="C21" s="28" t="s">
        <v>2686</v>
      </c>
      <c r="D21" s="28" t="s">
        <v>2687</v>
      </c>
      <c r="E21" s="29"/>
      <c r="F21" s="56" t="s">
        <v>4086</v>
      </c>
      <c r="G21" s="56" t="str">
        <f t="shared" si="1"/>
        <v>text</v>
      </c>
      <c r="H21" s="68"/>
      <c r="I21" s="29"/>
      <c r="J21" s="69"/>
      <c r="N21" s="76"/>
      <c r="O21" s="76"/>
      <c r="P21" s="76" t="str">
        <f t="shared" si="2"/>
        <v>,seibun_unit_name</v>
      </c>
      <c r="Q21" s="76" t="str">
        <f t="shared" si="3"/>
        <v>TEXT</v>
      </c>
      <c r="R21" s="76" t="str">
        <f t="shared" si="4"/>
        <v/>
      </c>
      <c r="S21" s="76" t="str">
        <f t="shared" si="5"/>
        <v/>
      </c>
      <c r="T21" s="76" t="str">
        <f t="shared" si="6"/>
        <v>-- 成分単位名称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milscm_2023_009.sny_202310_mt_yakuzai.seibun_unit_name IS '成分単位名称';</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8" priority="4"/>
  </conditionalFormatting>
  <conditionalFormatting sqref="D15">
    <cfRule type="duplicateValues" dxfId="7" priority="3"/>
  </conditionalFormatting>
  <conditionalFormatting sqref="D13">
    <cfRule type="duplicateValues" dxfId="6" priority="2"/>
  </conditionalFormatting>
  <conditionalFormatting sqref="D14">
    <cfRule type="duplicateValues" dxfId="5"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ENT_21_06</v>
      </c>
      <c r="E6" s="240"/>
      <c r="F6" s="240"/>
      <c r="G6" s="240"/>
      <c r="H6" s="240"/>
      <c r="I6" s="240"/>
      <c r="J6" s="241"/>
    </row>
    <row r="7" spans="1:45">
      <c r="B7" s="229" t="s">
        <v>115</v>
      </c>
      <c r="C7" s="230"/>
      <c r="D7" s="231" t="s">
        <v>4068</v>
      </c>
      <c r="E7" s="232"/>
      <c r="F7" s="232"/>
      <c r="G7" s="232"/>
      <c r="H7" s="232"/>
      <c r="I7" s="232"/>
      <c r="J7" s="233"/>
    </row>
    <row r="8" spans="1:45">
      <c r="B8" s="229" t="s">
        <v>116</v>
      </c>
      <c r="C8" s="230"/>
      <c r="D8" s="231" t="str">
        <f>エンティティ一覧!AE2&amp;"_"&amp;D5&amp;"_kensa"</f>
        <v>sny_202310_mt_kensa</v>
      </c>
      <c r="E8" s="232"/>
      <c r="F8" s="232"/>
      <c r="G8" s="232"/>
      <c r="H8" s="232"/>
      <c r="I8" s="232"/>
      <c r="J8" s="233"/>
    </row>
    <row r="9" spans="1:45" ht="19.5" customHeight="1" thickBot="1">
      <c r="B9" s="234" t="s">
        <v>117</v>
      </c>
      <c r="C9" s="235"/>
      <c r="D9" s="236" t="str">
        <f>D7&amp;"情報を格納するテーブル"</f>
        <v>検体検査マスタ情報を格納するテーブル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milscm_2023_009.sny_202310_mt_kensa;</v>
      </c>
      <c r="O10" s="76"/>
      <c r="P10" s="76"/>
      <c r="Q10" s="76"/>
      <c r="R10" s="76"/>
      <c r="S10" s="76"/>
      <c r="T10" s="76"/>
      <c r="AJ10" s="76" t="str">
        <f>"ALTER TABLE ONLY "&amp;エンティティ一覧!$O$2&amp;"."&amp;D$8</f>
        <v>ALTER TABLE ONLY milscm_2023_009.sny_202310_mt_kensa</v>
      </c>
      <c r="AS10" s="76" t="str">
        <f>"ALTER TABLE "&amp;エンティティ一覧!$O$2&amp;"."&amp;D$8&amp;" OWNER TO pgmisgrp1;"</f>
        <v>ALTER TABLE milscm_2023_009.sny_202310_mt_kensa OWNER TO pgmisgrp1;</v>
      </c>
    </row>
    <row r="11" spans="1:45" ht="19.5" thickBot="1">
      <c r="B11" s="20" t="s">
        <v>118</v>
      </c>
      <c r="C11" s="19"/>
      <c r="D11" s="5"/>
      <c r="E11" s="5"/>
      <c r="F11" s="5"/>
      <c r="G11" s="5"/>
      <c r="H11" s="5"/>
      <c r="I11" s="5"/>
      <c r="J11" s="18"/>
      <c r="N11" s="76" t="str">
        <f>"CREATE TABLE  "&amp;エンティティ一覧!$O$2&amp;"."&amp;D$8</f>
        <v>CREATE TABLE  milscm_2023_009.sny_202310_mt_kensa</v>
      </c>
      <c r="O11" s="76"/>
      <c r="P11" s="76"/>
      <c r="Q11" s="76"/>
      <c r="R11" s="76"/>
      <c r="S11" s="76"/>
      <c r="T11" s="76"/>
      <c r="AJ11" s="76" t="str">
        <f>"ADD CONSTRAINT "&amp;D$8&amp;"_pkey PRIMARY KEY"</f>
        <v>ADD CONSTRAINT sny_202310_mt_kensa_pkey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milscm_2023_009.sny_202310_mt_kensa IS '検体検査マスタ';</v>
      </c>
    </row>
    <row r="13" spans="1:45" s="25" customFormat="1">
      <c r="A13" s="4"/>
      <c r="B13" s="21">
        <f t="shared" ref="B13:B22" si="0">ROW()-12</f>
        <v>1</v>
      </c>
      <c r="C13" s="6" t="s">
        <v>3833</v>
      </c>
      <c r="D13" s="6" t="s">
        <v>883</v>
      </c>
      <c r="E13" s="8" t="s">
        <v>127</v>
      </c>
      <c r="F13" s="8" t="s">
        <v>3820</v>
      </c>
      <c r="G13" s="7" t="str">
        <f t="shared" ref="G13:G22" si="1">IF(F13="フラグ","boolean",IF(F13="文字列","text",IF(F13="整数","integer",IF(F13="実数","numeric",""))))</f>
        <v>text</v>
      </c>
      <c r="H13" s="67"/>
      <c r="I13" s="8" t="s">
        <v>127</v>
      </c>
      <c r="J13" s="11"/>
      <c r="M13" s="4"/>
      <c r="N13" s="76"/>
      <c r="O13" s="76"/>
      <c r="P13" s="76" t="str">
        <f t="shared" ref="P13:P22" si="2">IF(B13&lt;&gt;1,","&amp;D13,D13)</f>
        <v>facility_id</v>
      </c>
      <c r="Q13" s="76" t="str">
        <f t="shared" ref="Q13:Q22" si="3">UPPER(G13)</f>
        <v>TEXT</v>
      </c>
      <c r="R13" s="76" t="str">
        <f t="shared" ref="R13:R22"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milscm_2023_009.sny_202310_mt_kensa.facility_id IS '施設ID';</v>
      </c>
    </row>
    <row r="14" spans="1:45" s="25" customFormat="1">
      <c r="A14" s="4"/>
      <c r="B14" s="21">
        <f t="shared" si="0"/>
        <v>2</v>
      </c>
      <c r="C14" s="13" t="s">
        <v>2404</v>
      </c>
      <c r="D14" s="13" t="s">
        <v>2405</v>
      </c>
      <c r="E14" s="99"/>
      <c r="F14" s="99" t="s">
        <v>3820</v>
      </c>
      <c r="G14" s="7" t="str">
        <f t="shared" si="1"/>
        <v>text</v>
      </c>
      <c r="H14" s="67"/>
      <c r="I14" s="8" t="s">
        <v>127</v>
      </c>
      <c r="J14" s="11"/>
      <c r="M14" s="4"/>
      <c r="N14" s="76"/>
      <c r="O14" s="76"/>
      <c r="P14" s="76" t="str">
        <f t="shared" si="2"/>
        <v>,facility_id_mml</v>
      </c>
      <c r="Q14" s="76" t="str">
        <f t="shared" si="3"/>
        <v>TEXT</v>
      </c>
      <c r="R14" s="76" t="str">
        <f t="shared" si="4"/>
        <v/>
      </c>
      <c r="S14" s="76" t="str">
        <f>IF(I14="○","NOT NULL","")</f>
        <v>NOT NULL</v>
      </c>
      <c r="T14" s="76" t="str">
        <f>"--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milscm_2023_009.sny_202310_mt_kensa.facility_id_mml IS '施設ID（MML）';</v>
      </c>
    </row>
    <row r="15" spans="1:45" s="25" customFormat="1">
      <c r="A15" s="4"/>
      <c r="B15" s="21">
        <f t="shared" si="0"/>
        <v>3</v>
      </c>
      <c r="C15" s="98" t="s">
        <v>1608</v>
      </c>
      <c r="D15" s="98" t="s">
        <v>1609</v>
      </c>
      <c r="E15" s="99" t="s">
        <v>127</v>
      </c>
      <c r="F15" s="99" t="s">
        <v>3820</v>
      </c>
      <c r="G15" s="7" t="str">
        <f t="shared" ref="G15" si="5">IF(F15="フラグ","boolean",IF(F15="文字列","text",IF(F15="整数","integer",IF(F15="実数","numeric",""))))</f>
        <v>text</v>
      </c>
      <c r="H15" s="67"/>
      <c r="I15" s="8" t="s">
        <v>127</v>
      </c>
      <c r="J15" s="11"/>
      <c r="M15" s="4"/>
      <c r="N15" s="76"/>
      <c r="O15" s="76"/>
      <c r="P15" s="76" t="str">
        <f t="shared" ref="P15" si="6">IF(B15&lt;&gt;1,","&amp;D15,D15)</f>
        <v>,specimen_name</v>
      </c>
      <c r="Q15" s="76" t="str">
        <f t="shared" ref="Q15" si="7">UPPER(G15)</f>
        <v>TEXT</v>
      </c>
      <c r="R15" s="76" t="str">
        <f t="shared" ref="R15" si="8">IF(H15&lt;&gt;"","default "&amp;IF(G15="text","'"&amp;H15&amp;"'",H15),"")</f>
        <v/>
      </c>
      <c r="S15" s="76" t="str">
        <f>IF(I15="○","NOT NULL","")</f>
        <v>NOT NULL</v>
      </c>
      <c r="T15" s="76" t="str">
        <f>"-- "&amp;C15</f>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milscm_2023_009.sny_202310_mt_kensa.specimen_name IS '検体材料';</v>
      </c>
    </row>
    <row r="16" spans="1:45" s="25" customFormat="1">
      <c r="A16" s="4"/>
      <c r="B16" s="21">
        <f t="shared" si="0"/>
        <v>4</v>
      </c>
      <c r="C16" s="98" t="s">
        <v>1610</v>
      </c>
      <c r="D16" s="98" t="s">
        <v>1611</v>
      </c>
      <c r="E16" s="99" t="s">
        <v>127</v>
      </c>
      <c r="F16" s="99" t="s">
        <v>3820</v>
      </c>
      <c r="G16" s="7" t="str">
        <f t="shared" si="1"/>
        <v>text</v>
      </c>
      <c r="H16" s="67"/>
      <c r="I16" s="8" t="s">
        <v>127</v>
      </c>
      <c r="J16" s="11"/>
      <c r="N16" s="76"/>
      <c r="O16" s="76"/>
      <c r="P16" s="76" t="str">
        <f t="shared" si="2"/>
        <v>,sp_code</v>
      </c>
      <c r="Q16" s="76" t="str">
        <f t="shared" si="3"/>
        <v>TEXT</v>
      </c>
      <c r="R16" s="76" t="str">
        <f t="shared" si="4"/>
        <v/>
      </c>
      <c r="S16" s="76" t="str">
        <f t="shared" ref="S16:S22" si="9">IF(I16="○","NOT NULL","")</f>
        <v>NOT NULL</v>
      </c>
      <c r="T16" s="76" t="str">
        <f t="shared" ref="T16:T22" si="10">"-- "&amp;C16</f>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milscm_2023_009.sny_202310_mt_kensa.sp_code IS '検体材料コード';</v>
      </c>
    </row>
    <row r="17" spans="1:52" s="25" customFormat="1">
      <c r="A17" s="4"/>
      <c r="B17" s="21">
        <f t="shared" si="0"/>
        <v>5</v>
      </c>
      <c r="C17" s="6" t="s">
        <v>3834</v>
      </c>
      <c r="D17" s="6" t="s">
        <v>1626</v>
      </c>
      <c r="E17" s="8" t="s">
        <v>127</v>
      </c>
      <c r="F17" s="7" t="s">
        <v>3820</v>
      </c>
      <c r="G17" s="7" t="str">
        <f t="shared" si="1"/>
        <v>text</v>
      </c>
      <c r="H17" s="67"/>
      <c r="I17" s="8" t="s">
        <v>127</v>
      </c>
      <c r="J17" s="11"/>
      <c r="N17" s="76"/>
      <c r="O17" s="76"/>
      <c r="P17" s="76" t="str">
        <f t="shared" si="2"/>
        <v>,item_name</v>
      </c>
      <c r="Q17" s="76" t="str">
        <f t="shared" si="3"/>
        <v>TEXT</v>
      </c>
      <c r="R17" s="76" t="str">
        <f t="shared" si="4"/>
        <v/>
      </c>
      <c r="S17" s="76" t="str">
        <f t="shared" si="9"/>
        <v>NOT NULL</v>
      </c>
      <c r="T17" s="76" t="str">
        <f t="shared" si="10"/>
        <v>-- 検査名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milscm_2023_009.sny_202310_mt_kensa.item_name IS '検査名';</v>
      </c>
    </row>
    <row r="18" spans="1:52" s="25" customFormat="1">
      <c r="A18" s="4"/>
      <c r="B18" s="21">
        <f t="shared" si="0"/>
        <v>6</v>
      </c>
      <c r="C18" s="6" t="s">
        <v>3835</v>
      </c>
      <c r="D18" s="6" t="s">
        <v>3836</v>
      </c>
      <c r="E18" s="8" t="s">
        <v>127</v>
      </c>
      <c r="F18" s="7" t="s">
        <v>3820</v>
      </c>
      <c r="G18" s="7" t="str">
        <f t="shared" si="1"/>
        <v>text</v>
      </c>
      <c r="H18" s="67"/>
      <c r="I18" s="8" t="s">
        <v>127</v>
      </c>
      <c r="J18" s="11"/>
      <c r="N18" s="76"/>
      <c r="O18" s="76"/>
      <c r="P18" s="76" t="str">
        <f t="shared" si="2"/>
        <v>,item_code</v>
      </c>
      <c r="Q18" s="76" t="str">
        <f t="shared" si="3"/>
        <v>TEXT</v>
      </c>
      <c r="R18" s="76" t="str">
        <f t="shared" si="4"/>
        <v/>
      </c>
      <c r="S18" s="76" t="str">
        <f t="shared" si="9"/>
        <v>NOT NULL</v>
      </c>
      <c r="T18" s="76" t="str">
        <f t="shared" si="10"/>
        <v>-- 検査名_施設固有コード</v>
      </c>
      <c r="U18" s="4"/>
      <c r="AA18" s="4"/>
      <c r="AB18" s="4"/>
      <c r="AC18" s="4"/>
      <c r="AD18" s="4"/>
      <c r="AE18" s="4"/>
      <c r="AF18" s="4"/>
      <c r="AG18" s="4"/>
      <c r="AH18" s="4"/>
      <c r="AI18" s="4"/>
      <c r="AJ18" s="76" t="str">
        <f>IF(E18="○",IF(COUNTA(E$13:E18)=1,"",",")&amp;D18,"")</f>
        <v>,item_code</v>
      </c>
      <c r="AK18" s="4"/>
      <c r="AL18" s="4"/>
      <c r="AM18" s="4"/>
      <c r="AN18" s="4"/>
      <c r="AO18" s="4"/>
      <c r="AP18" s="4"/>
      <c r="AQ18" s="4"/>
      <c r="AR18" s="4"/>
      <c r="AS18" s="76" t="str">
        <f>"COMMENT ON COLUMN "&amp;エンティティ一覧!$O$2&amp;"."&amp;D$8&amp;"."&amp;D18&amp;" IS '"&amp;C18&amp;"';"</f>
        <v>COMMENT ON COLUMN milscm_2023_009.sny_202310_mt_kensa.item_code IS '検査名_施設固有コード';</v>
      </c>
    </row>
    <row r="19" spans="1:52" s="25" customFormat="1">
      <c r="A19" s="4"/>
      <c r="B19" s="21">
        <f t="shared" si="0"/>
        <v>7</v>
      </c>
      <c r="C19" s="6" t="s">
        <v>3842</v>
      </c>
      <c r="D19" s="6" t="s">
        <v>3843</v>
      </c>
      <c r="E19" s="8" t="s">
        <v>127</v>
      </c>
      <c r="F19" s="7" t="s">
        <v>3278</v>
      </c>
      <c r="G19" s="7" t="str">
        <f t="shared" si="1"/>
        <v>text</v>
      </c>
      <c r="H19" s="67"/>
      <c r="I19" s="8" t="s">
        <v>127</v>
      </c>
      <c r="J19" s="11"/>
      <c r="N19" s="76"/>
      <c r="O19" s="76"/>
      <c r="P19" s="76" t="str">
        <f t="shared" si="2"/>
        <v>,unit</v>
      </c>
      <c r="Q19" s="76" t="str">
        <f t="shared" si="3"/>
        <v>TEXT</v>
      </c>
      <c r="R19" s="76" t="str">
        <f t="shared" si="4"/>
        <v/>
      </c>
      <c r="S19" s="76" t="str">
        <f t="shared" si="9"/>
        <v>NOT NULL</v>
      </c>
      <c r="T19" s="76" t="str">
        <f t="shared" si="10"/>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milscm_2023_009.sny_202310_mt_kensa.unit IS '単位';</v>
      </c>
    </row>
    <row r="20" spans="1:52" s="25" customFormat="1">
      <c r="A20" s="4"/>
      <c r="B20" s="21">
        <f t="shared" si="0"/>
        <v>8</v>
      </c>
      <c r="C20" s="6" t="s">
        <v>3837</v>
      </c>
      <c r="D20" s="6" t="s">
        <v>3838</v>
      </c>
      <c r="E20" s="8"/>
      <c r="F20" s="7" t="s">
        <v>3278</v>
      </c>
      <c r="G20" s="7" t="str">
        <f t="shared" si="1"/>
        <v>text</v>
      </c>
      <c r="H20" s="67"/>
      <c r="I20" s="8" t="s">
        <v>127</v>
      </c>
      <c r="J20" s="11"/>
      <c r="N20" s="76"/>
      <c r="O20" s="76"/>
      <c r="P20" s="76" t="str">
        <f t="shared" si="2"/>
        <v>,m_unit</v>
      </c>
      <c r="Q20" s="76" t="str">
        <f t="shared" si="3"/>
        <v>TEXT</v>
      </c>
      <c r="R20" s="76" t="str">
        <f t="shared" si="4"/>
        <v/>
      </c>
      <c r="S20" s="76" t="str">
        <f t="shared" si="9"/>
        <v>NOT NULL</v>
      </c>
      <c r="T20" s="76" t="str">
        <f t="shared" si="10"/>
        <v>-- 一般単位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milscm_2023_009.sny_202310_mt_kensa.m_unit IS '一般単位';</v>
      </c>
    </row>
    <row r="21" spans="1:52" s="25" customFormat="1">
      <c r="A21" s="4"/>
      <c r="B21" s="21">
        <f t="shared" si="0"/>
        <v>9</v>
      </c>
      <c r="C21" s="6" t="s">
        <v>3844</v>
      </c>
      <c r="D21" s="6" t="s">
        <v>3845</v>
      </c>
      <c r="E21" s="8"/>
      <c r="F21" s="7" t="s">
        <v>3820</v>
      </c>
      <c r="G21" s="7" t="str">
        <f t="shared" si="1"/>
        <v>text</v>
      </c>
      <c r="H21" s="67"/>
      <c r="I21" s="8" t="s">
        <v>127</v>
      </c>
      <c r="J21" s="11"/>
      <c r="N21" s="76"/>
      <c r="O21" s="76"/>
      <c r="P21" s="76" t="str">
        <f t="shared" si="2"/>
        <v>,disp_name</v>
      </c>
      <c r="Q21" s="76" t="str">
        <f t="shared" si="3"/>
        <v>TEXT</v>
      </c>
      <c r="R21" s="76" t="str">
        <f t="shared" si="4"/>
        <v/>
      </c>
      <c r="S21" s="76" t="str">
        <f t="shared" si="9"/>
        <v>NOT NULL</v>
      </c>
      <c r="T21" s="76" t="str">
        <f t="shared" si="10"/>
        <v>-- 表示名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milscm_2023_009.sny_202310_mt_kensa.disp_name IS '表示名';</v>
      </c>
    </row>
    <row r="22" spans="1:52" s="25" customFormat="1" ht="19.5" thickBot="1">
      <c r="A22" s="4"/>
      <c r="B22" s="66">
        <f t="shared" si="0"/>
        <v>10</v>
      </c>
      <c r="C22" s="28" t="s">
        <v>3839</v>
      </c>
      <c r="D22" s="28" t="s">
        <v>3840</v>
      </c>
      <c r="E22" s="29"/>
      <c r="F22" s="56" t="s">
        <v>3841</v>
      </c>
      <c r="G22" s="56" t="str">
        <f t="shared" si="1"/>
        <v>numeric</v>
      </c>
      <c r="H22" s="68"/>
      <c r="I22" s="29"/>
      <c r="J22" s="69"/>
      <c r="N22" s="76"/>
      <c r="O22" s="76"/>
      <c r="P22" s="76" t="str">
        <f t="shared" si="2"/>
        <v>,rate</v>
      </c>
      <c r="Q22" s="76" t="str">
        <f t="shared" si="3"/>
        <v>NUMERIC</v>
      </c>
      <c r="R22" s="76" t="str">
        <f t="shared" si="4"/>
        <v/>
      </c>
      <c r="S22" s="76" t="str">
        <f t="shared" si="9"/>
        <v/>
      </c>
      <c r="T22" s="76" t="str">
        <f t="shared" si="10"/>
        <v>-- 換算率</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milscm_2023_009.sny_202310_mt_kensa.rate IS '換算率';</v>
      </c>
    </row>
    <row r="23" spans="1:52">
      <c r="L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6">
    <cfRule type="duplicateValues" dxfId="4" priority="6"/>
  </conditionalFormatting>
  <conditionalFormatting sqref="D13">
    <cfRule type="duplicateValues" dxfId="3" priority="5"/>
  </conditionalFormatting>
  <conditionalFormatting sqref="D15">
    <cfRule type="duplicateValues" dxfId="2" priority="3"/>
  </conditionalFormatting>
  <conditionalFormatting sqref="D15">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ENT_21_07</v>
      </c>
      <c r="E6" s="240"/>
      <c r="F6" s="240"/>
      <c r="G6" s="240"/>
      <c r="H6" s="240"/>
      <c r="I6" s="240"/>
      <c r="J6" s="241"/>
    </row>
    <row r="7" spans="1:45">
      <c r="B7" s="229" t="s">
        <v>115</v>
      </c>
      <c r="C7" s="230"/>
      <c r="D7" s="231" t="s">
        <v>4087</v>
      </c>
      <c r="E7" s="232"/>
      <c r="F7" s="232"/>
      <c r="G7" s="232"/>
      <c r="H7" s="232"/>
      <c r="I7" s="232"/>
      <c r="J7" s="233"/>
    </row>
    <row r="8" spans="1:45">
      <c r="B8" s="229" t="s">
        <v>116</v>
      </c>
      <c r="C8" s="230"/>
      <c r="D8" s="231" t="str">
        <f>エンティティ一覧!AE2&amp;"_"&amp;D5&amp;"_shinryo_koi"</f>
        <v>sny_202310_mt_shinryo_koi</v>
      </c>
      <c r="E8" s="232"/>
      <c r="F8" s="232"/>
      <c r="G8" s="232"/>
      <c r="H8" s="232"/>
      <c r="I8" s="232"/>
      <c r="J8" s="233"/>
    </row>
    <row r="9" spans="1:45" ht="19.5" customHeight="1" thickBot="1">
      <c r="B9" s="234" t="s">
        <v>117</v>
      </c>
      <c r="C9" s="235"/>
      <c r="D9" s="236" t="str">
        <f>D7&amp;"情報を格納するテーブル"</f>
        <v>診療行為マスタ情報を格納するテーブル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milscm_2023_009.sny_202310_mt_shinryo_koi;</v>
      </c>
      <c r="O10" s="76"/>
      <c r="P10" s="76"/>
      <c r="Q10" s="76"/>
      <c r="R10" s="76"/>
      <c r="S10" s="76"/>
      <c r="T10" s="76"/>
      <c r="AJ10" s="76" t="str">
        <f>"ALTER TABLE ONLY "&amp;エンティティ一覧!$O$2&amp;"."&amp;D$8</f>
        <v>ALTER TABLE ONLY milscm_2023_009.sny_202310_mt_shinryo_koi</v>
      </c>
      <c r="AS10" s="76" t="str">
        <f>"ALTER TABLE "&amp;エンティティ一覧!$O$2&amp;"."&amp;D$8&amp;" OWNER TO pgmisgrp1;"</f>
        <v>ALTER TABLE milscm_2023_009.sny_202310_mt_shinryo_koi OWNER TO pgmisgrp1;</v>
      </c>
    </row>
    <row r="11" spans="1:45" ht="19.5" thickBot="1">
      <c r="B11" s="20" t="s">
        <v>118</v>
      </c>
      <c r="C11" s="19"/>
      <c r="D11" s="5"/>
      <c r="E11" s="5"/>
      <c r="F11" s="5"/>
      <c r="G11" s="5"/>
      <c r="H11" s="5"/>
      <c r="I11" s="5"/>
      <c r="J11" s="18"/>
      <c r="N11" s="76" t="str">
        <f>"CREATE TABLE  "&amp;エンティティ一覧!$O$2&amp;"."&amp;D$8</f>
        <v>CREATE TABLE  milscm_2023_009.sny_202310_mt_shinryo_koi</v>
      </c>
      <c r="O11" s="76"/>
      <c r="P11" s="76"/>
      <c r="Q11" s="76"/>
      <c r="R11" s="76"/>
      <c r="S11" s="76"/>
      <c r="T11" s="76"/>
      <c r="AJ11" s="76" t="str">
        <f>"ADD CONSTRAINT "&amp;D$8&amp;"_pkey PRIMARY KEY"</f>
        <v>ADD CONSTRAINT sny_202310_mt_shinryo_koi_pkey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milscm_2023_009.sny_202310_mt_shinryo_koi IS '診療行為マスタ';</v>
      </c>
    </row>
    <row r="13" spans="1:45" s="25" customFormat="1">
      <c r="A13" s="4"/>
      <c r="B13" s="21">
        <f t="shared" ref="B13:B17" si="0">ROW()-12</f>
        <v>1</v>
      </c>
      <c r="C13" s="6" t="s">
        <v>1127</v>
      </c>
      <c r="D13" s="6" t="s">
        <v>2612</v>
      </c>
      <c r="E13" s="8" t="s">
        <v>127</v>
      </c>
      <c r="F13" s="7" t="s">
        <v>737</v>
      </c>
      <c r="G13" s="7" t="str">
        <f t="shared" ref="G13:G17" si="1">IF(F13="フラグ","boolean",IF(F13="文字列","text",IF(F13="整数","integer",IF(F13="実数","numeric",""))))</f>
        <v>text</v>
      </c>
      <c r="H13" s="67"/>
      <c r="I13" s="8" t="s">
        <v>127</v>
      </c>
      <c r="J13" s="11"/>
      <c r="M13" s="4"/>
      <c r="N13" s="76"/>
      <c r="O13" s="76"/>
      <c r="P13" s="76" t="str">
        <f t="shared" ref="P13:P17" si="2">IF(B13&lt;&gt;1,","&amp;D13,D13)</f>
        <v>shinryo_koi_cd</v>
      </c>
      <c r="Q13" s="76" t="str">
        <f t="shared" ref="Q13:Q17" si="3">UPPER(G13)</f>
        <v>TEXT</v>
      </c>
      <c r="R13" s="76" t="str">
        <f t="shared" ref="R13:R17" si="4">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milscm_2023_009.sny_202310_mt_shinryo_koi.shinryo_koi_cd IS '診療行為コード';</v>
      </c>
    </row>
    <row r="14" spans="1:45" s="25" customFormat="1">
      <c r="A14" s="4"/>
      <c r="B14" s="21">
        <f t="shared" si="0"/>
        <v>2</v>
      </c>
      <c r="C14" s="6" t="s">
        <v>4283</v>
      </c>
      <c r="D14" s="6" t="s">
        <v>4289</v>
      </c>
      <c r="E14" s="8"/>
      <c r="F14" s="7" t="s">
        <v>737</v>
      </c>
      <c r="G14" s="7" t="str">
        <f>IF(F14="フラグ","boolean",IF(F14="文字列","text",IF(F14="整数","integer",IF(F14="実数","numeric",""))))</f>
        <v>text</v>
      </c>
      <c r="H14" s="67"/>
      <c r="I14" s="8" t="s">
        <v>127</v>
      </c>
      <c r="J14" s="11"/>
      <c r="M14" s="4"/>
      <c r="N14" s="76"/>
      <c r="O14" s="76"/>
      <c r="P14" s="76" t="str">
        <f t="shared" si="2"/>
        <v>,kubun_no</v>
      </c>
      <c r="Q14" s="76" t="str">
        <f t="shared" si="3"/>
        <v>TEXT</v>
      </c>
      <c r="R14" s="76" t="str">
        <f t="shared" si="4"/>
        <v/>
      </c>
      <c r="S14" s="76" t="str">
        <f t="shared" ref="S14:S17" si="5">IF(I14="○","NOT NULL","")</f>
        <v>NOT NULL</v>
      </c>
      <c r="T14" s="76" t="str">
        <f t="shared" ref="T14:T17" si="6">"-- "&amp;C14</f>
        <v>-- 点数表区分番号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milscm_2023_009.sny_202310_mt_shinryo_koi.kubun_no IS '点数表区分番号';</v>
      </c>
    </row>
    <row r="15" spans="1:45" s="25" customFormat="1">
      <c r="A15" s="4"/>
      <c r="B15" s="21">
        <f>ROW()-12</f>
        <v>3</v>
      </c>
      <c r="C15" s="6" t="s">
        <v>2621</v>
      </c>
      <c r="D15" s="6" t="s">
        <v>222</v>
      </c>
      <c r="E15" s="8"/>
      <c r="F15" s="7" t="s">
        <v>737</v>
      </c>
      <c r="G15" s="7" t="str">
        <f>IF(F15="フラグ","boolean",IF(F15="文字列","text",IF(F15="整数","integer",IF(F15="実数","numeric",""))))</f>
        <v>text</v>
      </c>
      <c r="H15" s="67"/>
      <c r="I15" s="8" t="s">
        <v>127</v>
      </c>
      <c r="J15" s="11"/>
      <c r="M15" s="4"/>
      <c r="N15" s="76"/>
      <c r="O15" s="76"/>
      <c r="P15" s="76" t="str">
        <f>IF(B15&lt;&gt;1,","&amp;D15,D15)</f>
        <v>,shinryo_koi_name</v>
      </c>
      <c r="Q15" s="76" t="str">
        <f>UPPER(G15)</f>
        <v>TEXT</v>
      </c>
      <c r="R15" s="76" t="str">
        <f>IF(H15&lt;&gt;"","default "&amp;IF(G15="text","'"&amp;H15&amp;"'",H15),"")</f>
        <v/>
      </c>
      <c r="S15" s="76" t="str">
        <f>IF(I15="○","NOT NULL","")</f>
        <v>NOT NULL</v>
      </c>
      <c r="T15" s="76" t="str">
        <f>"-- "&amp;C15</f>
        <v>-- 診療行為省略名</v>
      </c>
      <c r="U15" s="4"/>
      <c r="AA15" s="4"/>
      <c r="AB15" s="4"/>
      <c r="AC15" s="4"/>
      <c r="AD15" s="4"/>
      <c r="AE15" s="4"/>
      <c r="AF15" s="4"/>
      <c r="AG15" s="4"/>
      <c r="AH15" s="4"/>
      <c r="AI15" s="4"/>
      <c r="AJ15" s="76" t="str">
        <f>IF(E15="○",IF(COUNTA(E$15:E15)=1,"",",")&amp;D15,"")</f>
        <v/>
      </c>
      <c r="AK15" s="4"/>
      <c r="AL15" s="4"/>
      <c r="AM15" s="4"/>
      <c r="AN15" s="4"/>
      <c r="AO15" s="4"/>
      <c r="AP15" s="4"/>
      <c r="AQ15" s="4"/>
      <c r="AR15" s="4"/>
      <c r="AS15" s="76" t="str">
        <f>"COMMENT ON COLUMN "&amp;エンティティ一覧!$O$2&amp;"."&amp;D$8&amp;"."&amp;D15&amp;" IS '"&amp;C15&amp;"';"</f>
        <v>COMMENT ON COLUMN milscm_2023_009.sny_202310_mt_shinryo_koi.shinryo_koi_name IS '診療行為省略名';</v>
      </c>
    </row>
    <row r="16" spans="1:45" s="25" customFormat="1">
      <c r="A16" s="4"/>
      <c r="B16" s="21">
        <f t="shared" si="0"/>
        <v>4</v>
      </c>
      <c r="C16" s="6" t="s">
        <v>2622</v>
      </c>
      <c r="D16" s="6" t="s">
        <v>2623</v>
      </c>
      <c r="E16" s="8"/>
      <c r="F16" s="7" t="s">
        <v>737</v>
      </c>
      <c r="G16" s="7" t="str">
        <f>IF(F16="フラグ","boolean",IF(F16="文字列","text",IF(F16="整数","integer",IF(F16="実数","numeric",""))))</f>
        <v>text</v>
      </c>
      <c r="H16" s="67"/>
      <c r="I16" s="8" t="s">
        <v>127</v>
      </c>
      <c r="J16" s="11"/>
      <c r="M16" s="4"/>
      <c r="N16" s="76"/>
      <c r="O16" s="76"/>
      <c r="P16" s="76" t="str">
        <f>IF(B16&lt;&gt;1,","&amp;D16,D16)</f>
        <v>,shinryo_koi_kihonname</v>
      </c>
      <c r="Q16" s="76" t="str">
        <f>UPPER(G16)</f>
        <v>TEXT</v>
      </c>
      <c r="R16" s="76" t="str">
        <f>IF(H16&lt;&gt;"","default "&amp;IF(G16="text","'"&amp;H16&amp;"'",H16),"")</f>
        <v/>
      </c>
      <c r="S16" s="76" t="str">
        <f>IF(I16="○","NOT NULL","")</f>
        <v>NOT NULL</v>
      </c>
      <c r="T16" s="76" t="str">
        <f>"-- "&amp;C16</f>
        <v>-- 診療行為名</v>
      </c>
      <c r="U16" s="4"/>
      <c r="AA16" s="4"/>
      <c r="AB16" s="4"/>
      <c r="AC16" s="4"/>
      <c r="AD16" s="4"/>
      <c r="AE16" s="4"/>
      <c r="AF16" s="4"/>
      <c r="AG16" s="4"/>
      <c r="AH16" s="4"/>
      <c r="AI16" s="4"/>
      <c r="AJ16" s="76" t="str">
        <f>IF(E16="○",IF(COUNTA(E$15:E16)=1,"",",")&amp;D16,"")</f>
        <v/>
      </c>
      <c r="AK16" s="4"/>
      <c r="AL16" s="4"/>
      <c r="AM16" s="4"/>
      <c r="AN16" s="4"/>
      <c r="AO16" s="4"/>
      <c r="AP16" s="4"/>
      <c r="AQ16" s="4"/>
      <c r="AR16" s="4"/>
      <c r="AS16" s="76" t="str">
        <f>"COMMENT ON COLUMN "&amp;エンティティ一覧!$O$2&amp;"."&amp;D$8&amp;"."&amp;D16&amp;" IS '"&amp;C16&amp;"';"</f>
        <v>COMMENT ON COLUMN milscm_2023_009.sny_202310_mt_shinryo_koi.shinryo_koi_kihonname IS '診療行為名';</v>
      </c>
    </row>
    <row r="17" spans="1:52" s="25" customFormat="1" ht="19.5" thickBot="1">
      <c r="A17" s="4"/>
      <c r="B17" s="66">
        <f t="shared" si="0"/>
        <v>5</v>
      </c>
      <c r="C17" s="28" t="s">
        <v>4285</v>
      </c>
      <c r="D17" s="28" t="s">
        <v>4286</v>
      </c>
      <c r="E17" s="29"/>
      <c r="F17" s="56" t="s">
        <v>4284</v>
      </c>
      <c r="G17" s="56" t="str">
        <f t="shared" si="1"/>
        <v>boolean</v>
      </c>
      <c r="H17" s="68"/>
      <c r="I17" s="29" t="s">
        <v>127</v>
      </c>
      <c r="J17" s="69" t="s">
        <v>4287</v>
      </c>
      <c r="N17" s="76"/>
      <c r="O17" s="76"/>
      <c r="P17" s="76" t="str">
        <f t="shared" si="2"/>
        <v>,enroll_f</v>
      </c>
      <c r="Q17" s="76" t="str">
        <f t="shared" si="3"/>
        <v>BOOLEAN</v>
      </c>
      <c r="R17" s="76" t="str">
        <f t="shared" si="4"/>
        <v/>
      </c>
      <c r="S17" s="76" t="str">
        <f t="shared" si="5"/>
        <v>NOT NULL</v>
      </c>
      <c r="T17" s="76" t="str">
        <f t="shared" si="6"/>
        <v>-- 組入れ対象フラグ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milscm_2023_009.sny_202310_mt_shinryo_koi.enroll_f IS '組入れ対象フラグ';</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ENT_31_A1-02</v>
      </c>
      <c r="E6" s="240"/>
      <c r="F6" s="240"/>
      <c r="G6" s="240"/>
      <c r="H6" s="240"/>
      <c r="I6" s="240"/>
      <c r="J6" s="241"/>
    </row>
    <row r="7" spans="1:45">
      <c r="B7" s="229" t="s">
        <v>115</v>
      </c>
      <c r="C7" s="230"/>
      <c r="D7" s="231" t="s">
        <v>3693</v>
      </c>
      <c r="E7" s="232"/>
      <c r="F7" s="232"/>
      <c r="G7" s="232"/>
      <c r="H7" s="232"/>
      <c r="I7" s="232"/>
      <c r="J7" s="233"/>
    </row>
    <row r="8" spans="1:45">
      <c r="B8" s="229" t="s">
        <v>116</v>
      </c>
      <c r="C8" s="230"/>
      <c r="D8" s="231" t="str">
        <f>エンティティ一覧!AE2&amp;"_"&amp;D5&amp;"_mart_shohou"</f>
        <v>sny_202310_base_mart_shohou</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バックアップ_処方データテーブルから対象患者で絞り込んだ結果を格納するテーブル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milscm_2023_009.sny_202310_base_mart_shohou;</v>
      </c>
      <c r="O10" s="76"/>
      <c r="P10" s="76"/>
      <c r="Q10" s="76"/>
      <c r="R10" s="76"/>
      <c r="S10" s="76"/>
      <c r="T10" s="76"/>
      <c r="AJ10" s="76" t="str">
        <f>"ALTER TABLE ONLY "&amp;エンティティ一覧!$O$2&amp;"."&amp;D$8</f>
        <v>ALTER TABLE ONLY milscm_2023_009.sny_202310_base_mart_shohou</v>
      </c>
      <c r="AS10" s="76" t="str">
        <f>"ALTER TABLE "&amp;エンティティ一覧!$O$2&amp;"."&amp;D$8&amp;" OWNER TO pgmisgrp1;"</f>
        <v>ALTER TABLE milscm_2023_009.sny_202310_base_mart_shohou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milscm_2023_009.sny_202310_base_mart_shohou</v>
      </c>
      <c r="O11" s="76"/>
      <c r="P11" s="76"/>
      <c r="Q11" s="76"/>
      <c r="R11" s="76"/>
      <c r="S11" s="76"/>
      <c r="T11" s="76"/>
      <c r="AJ11" s="76" t="str">
        <f>"ADD CONSTRAINT "&amp;D$8&amp;"_pkey PRIMARY KEY"</f>
        <v>ADD CONSTRAINT sny_202310_base_mart_shohou_pkey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milscm_2023_009.sny_202310_base_mart_shohou IS 'ベース_処方データ';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1739</v>
      </c>
      <c r="G14" s="7" t="str">
        <f t="shared" ref="G14:G32" si="3">IF(F14="フラグ","boolean",IF(F14="文字列","text",IF(F14="整数","integer",IF(F14="実数","numeric",""))))</f>
        <v>text</v>
      </c>
      <c r="H14" s="26"/>
      <c r="I14" s="10" t="s">
        <v>127</v>
      </c>
      <c r="J14" s="11" t="s">
        <v>1758</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milscm_2023_009.sny_202310_base_mart_shohou.facility_id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milscm_2023_009.sny_202310_base_mart_shohou.shinryo_ym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milscm_2023_009.sny_202310_base_mart_shohou.junjo_no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milscm_2023_009.sny_202310_base_mart_shohou.koi_meisai_no IS '行為明細番号';</v>
      </c>
    </row>
    <row r="19" spans="1:45" s="25" customFormat="1" ht="37.5">
      <c r="A19" s="4"/>
      <c r="B19" s="21">
        <f t="shared" si="2"/>
        <v>7</v>
      </c>
      <c r="C19" s="13" t="s">
        <v>145</v>
      </c>
      <c r="D19" s="13" t="s">
        <v>154</v>
      </c>
      <c r="E19" s="7"/>
      <c r="F19" s="7" t="s">
        <v>1739</v>
      </c>
      <c r="G19" s="7" t="str">
        <f t="shared" si="3"/>
        <v>text</v>
      </c>
      <c r="H19" s="58"/>
      <c r="I19" s="23"/>
      <c r="J19" s="24" t="s">
        <v>1760</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t="s">
        <v>1758</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milscm_2023_009.sny_202310_base_mart_shohou.kaishaku_no IS '解釈番号';</v>
      </c>
    </row>
    <row r="21" spans="1:45" s="25" customFormat="1">
      <c r="A21" s="4"/>
      <c r="B21" s="21">
        <f t="shared" si="2"/>
        <v>9</v>
      </c>
      <c r="C21" s="13" t="s">
        <v>1745</v>
      </c>
      <c r="D21" s="13" t="s">
        <v>129</v>
      </c>
      <c r="E21" s="7"/>
      <c r="F21" s="7" t="s">
        <v>1746</v>
      </c>
      <c r="G21" s="7" t="str">
        <f t="shared" si="3"/>
        <v>numeric</v>
      </c>
      <c r="H21" s="58"/>
      <c r="I21" s="23"/>
      <c r="J21" s="24" t="s">
        <v>1758</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milscm_2023_009.sny_202310_base_mart_shohou.shiyoryo IS '使用量';</v>
      </c>
    </row>
    <row r="22" spans="1:45" s="25" customFormat="1">
      <c r="A22" s="4"/>
      <c r="B22" s="21">
        <f t="shared" si="2"/>
        <v>10</v>
      </c>
      <c r="C22" s="13" t="s">
        <v>1747</v>
      </c>
      <c r="D22" s="13" t="s">
        <v>276</v>
      </c>
      <c r="E22" s="7"/>
      <c r="F22" s="7" t="s">
        <v>1739</v>
      </c>
      <c r="G22" s="7" t="str">
        <f t="shared" si="3"/>
        <v>text</v>
      </c>
      <c r="H22" s="58"/>
      <c r="I22" s="23"/>
      <c r="J22" s="24" t="s">
        <v>1758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milscm_2023_009.sny_202310_base_mart_shohou.unit IS '基準単位';</v>
      </c>
    </row>
    <row r="23" spans="1:45" s="25" customFormat="1">
      <c r="A23" s="4"/>
      <c r="B23" s="21">
        <f t="shared" si="2"/>
        <v>11</v>
      </c>
      <c r="C23" s="13" t="s">
        <v>1748</v>
      </c>
      <c r="D23" s="13" t="s">
        <v>130</v>
      </c>
      <c r="E23" s="7"/>
      <c r="F23" s="7" t="s">
        <v>1746</v>
      </c>
      <c r="G23" s="7" t="str">
        <f t="shared" si="3"/>
        <v>numeric</v>
      </c>
      <c r="H23" s="58"/>
      <c r="I23" s="23"/>
      <c r="J23" s="24" t="s">
        <v>1758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milscm_2023_009.sny_202310_base_mart_shohou.meisai_tensu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milscm_2023_009.sny_202310_base_mart_shohou.ten_kubun IS '円・点区分';</v>
      </c>
    </row>
    <row r="25" spans="1:45" s="25" customFormat="1">
      <c r="A25" s="4"/>
      <c r="B25" s="21">
        <f t="shared" si="2"/>
        <v>13</v>
      </c>
      <c r="C25" s="13" t="s">
        <v>1750</v>
      </c>
      <c r="D25" s="13" t="s">
        <v>132</v>
      </c>
      <c r="E25" s="7"/>
      <c r="F25" s="7" t="s">
        <v>1739</v>
      </c>
      <c r="G25" s="7" t="str">
        <f t="shared" si="3"/>
        <v>text</v>
      </c>
      <c r="H25" s="58"/>
      <c r="I25" s="23"/>
      <c r="J25" s="24" t="s">
        <v>1758</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1751</v>
      </c>
      <c r="D26" s="13" t="s">
        <v>133</v>
      </c>
      <c r="E26" s="7"/>
      <c r="F26" s="7" t="s">
        <v>1746</v>
      </c>
      <c r="G26" s="7" t="str">
        <f t="shared" si="3"/>
        <v>numeric</v>
      </c>
      <c r="H26" s="58"/>
      <c r="I26" s="23"/>
      <c r="J26" s="24" t="s">
        <v>1758</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milscm_2023_009.sny_202310_base_mart_shohou.koi_times IS '行為回数';</v>
      </c>
    </row>
    <row r="27" spans="1:45" s="25" customFormat="1">
      <c r="A27" s="4"/>
      <c r="B27" s="21">
        <f t="shared" si="2"/>
        <v>15</v>
      </c>
      <c r="C27" s="13" t="s">
        <v>1752</v>
      </c>
      <c r="D27" s="13" t="s">
        <v>233</v>
      </c>
      <c r="E27" s="7"/>
      <c r="F27" s="7" t="s">
        <v>1739</v>
      </c>
      <c r="G27" s="7" t="str">
        <f t="shared" si="3"/>
        <v>text</v>
      </c>
      <c r="H27" s="58"/>
      <c r="I27" s="23"/>
      <c r="J27" s="24" t="s">
        <v>1758</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1753</v>
      </c>
      <c r="D28" s="13" t="s">
        <v>155</v>
      </c>
      <c r="E28" s="7" t="s">
        <v>127</v>
      </c>
      <c r="F28" s="7" t="s">
        <v>1739</v>
      </c>
      <c r="G28" s="7" t="str">
        <f t="shared" si="3"/>
        <v>text</v>
      </c>
      <c r="H28" s="58"/>
      <c r="I28" s="23" t="s">
        <v>127</v>
      </c>
      <c r="J28" s="24" t="s">
        <v>1758</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1754</v>
      </c>
      <c r="D29" s="13" t="s">
        <v>235</v>
      </c>
      <c r="E29" s="7"/>
      <c r="F29" s="7" t="s">
        <v>1739</v>
      </c>
      <c r="G29" s="7" t="str">
        <f t="shared" si="3"/>
        <v>text</v>
      </c>
      <c r="H29" s="58"/>
      <c r="I29" s="23"/>
      <c r="J29" s="24" t="s">
        <v>1758</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1739</v>
      </c>
      <c r="G30" s="7" t="str">
        <f t="shared" si="3"/>
        <v>text</v>
      </c>
      <c r="H30" s="58"/>
      <c r="I30" s="23"/>
      <c r="J30" s="24" t="s">
        <v>1758</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milscm_2023_009.sny_202310_base_mart_shohou.department_kubun IS '診療科区分';</v>
      </c>
    </row>
    <row r="31" spans="1:45" s="25" customFormat="1" ht="37.5">
      <c r="A31" s="4"/>
      <c r="B31" s="21">
        <f t="shared" si="2"/>
        <v>19</v>
      </c>
      <c r="C31" s="13" t="s">
        <v>1755</v>
      </c>
      <c r="D31" s="13" t="s">
        <v>243</v>
      </c>
      <c r="E31" s="7"/>
      <c r="F31" s="7" t="s">
        <v>1739</v>
      </c>
      <c r="G31" s="7" t="str">
        <f t="shared" si="3"/>
        <v>text</v>
      </c>
      <c r="H31" s="58"/>
      <c r="I31" s="23"/>
      <c r="J31" s="24" t="s">
        <v>1762</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milscm_2023_009.sny_202310_base_mart_shohou.nyugai_kubun IS '入外区分';</v>
      </c>
    </row>
    <row r="32" spans="1:45" s="25" customFormat="1" ht="19.5" thickBot="1">
      <c r="A32" s="4"/>
      <c r="B32" s="27">
        <f>ROW()-12</f>
        <v>20</v>
      </c>
      <c r="C32" s="57" t="s">
        <v>1756</v>
      </c>
      <c r="D32" s="57" t="s">
        <v>1757</v>
      </c>
      <c r="E32" s="56" t="s">
        <v>127</v>
      </c>
      <c r="F32" s="56" t="s">
        <v>204</v>
      </c>
      <c r="G32" s="56" t="str">
        <f t="shared" si="3"/>
        <v>integer</v>
      </c>
      <c r="H32" s="59"/>
      <c r="I32" s="60"/>
      <c r="J32" s="64" t="s">
        <v>1763</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ENT_31_A1-03</v>
      </c>
      <c r="E6" s="240"/>
      <c r="F6" s="240"/>
      <c r="G6" s="240"/>
      <c r="H6" s="240"/>
      <c r="I6" s="240"/>
      <c r="J6" s="241"/>
    </row>
    <row r="7" spans="1:45">
      <c r="B7" s="229" t="s">
        <v>115</v>
      </c>
      <c r="C7" s="230"/>
      <c r="D7" s="231" t="s">
        <v>3694</v>
      </c>
      <c r="E7" s="232"/>
      <c r="F7" s="232"/>
      <c r="G7" s="232"/>
      <c r="H7" s="232"/>
      <c r="I7" s="232"/>
      <c r="J7" s="233"/>
    </row>
    <row r="8" spans="1:45">
      <c r="B8" s="229" t="s">
        <v>116</v>
      </c>
      <c r="C8" s="230"/>
      <c r="D8" s="231" t="str">
        <f>エンティティ一覧!AE2&amp;"_"&amp;D5&amp;"_mart_shinryou_koui"</f>
        <v>sny_202310_base_mart_shinryou_koui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バックアップ_診療行為データテーブルから対象患者で絞り込んだ結果を格納するテーブル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milscm_2023_009.sny_202310_base_mart_shinryou_koui;</v>
      </c>
      <c r="O10" s="76"/>
      <c r="P10" s="76"/>
      <c r="Q10" s="76"/>
      <c r="R10" s="76"/>
      <c r="S10" s="76"/>
      <c r="T10" s="76"/>
      <c r="AJ10" s="76" t="str">
        <f>"ALTER TABLE ONLY "&amp;エンティティ一覧!$O$2&amp;"."&amp;D$8</f>
        <v>ALTER TABLE ONLY milscm_2023_009.sny_202310_base_mart_shinryou_koui</v>
      </c>
      <c r="AS10" s="76" t="str">
        <f>"ALTER TABLE "&amp;エンティティ一覧!$O$2&amp;"."&amp;D$8&amp;" OWNER TO pgmisgrp1;"</f>
        <v>ALTER TABLE milscm_2023_009.sny_202310_base_mart_shinryou_koui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milscm_2023_009.sny_202310_base_mart_shinryou_koui</v>
      </c>
      <c r="O11" s="76"/>
      <c r="P11" s="76"/>
      <c r="Q11" s="76"/>
      <c r="R11" s="76"/>
      <c r="S11" s="76"/>
      <c r="T11" s="76"/>
      <c r="AJ11" s="76" t="str">
        <f>"ADD CONSTRAINT "&amp;D$8&amp;"_pkey PRIMARY KEY"</f>
        <v>ADD CONSTRAINT sny_202310_base_mart_shinryou_koui_pkey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milscm_2023_009.sny_202310_base_mart_shinryou_koui IS 'ベース_診療行為データ';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1739</v>
      </c>
      <c r="G14" s="7" t="str">
        <f t="shared" ref="G14:G36" si="3">IF(F14="フラグ","boolean",IF(F14="文字列","text",IF(F14="整数","integer",IF(F14="実数","numeric",""))))</f>
        <v>text</v>
      </c>
      <c r="H14" s="26"/>
      <c r="I14" s="10" t="s">
        <v>127</v>
      </c>
      <c r="J14" s="11" t="s">
        <v>1758</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milscm_2023_009.sny_202310_base_mart_shinryou_koui.junjo_no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milscm_2023_009.sny_202310_base_mart_shinryou_koui.koi_meisai_no IS '行為明細番号';</v>
      </c>
    </row>
    <row r="19" spans="1:45" s="25" customFormat="1" ht="37.5">
      <c r="A19" s="4"/>
      <c r="B19" s="21">
        <f t="shared" si="2"/>
        <v>7</v>
      </c>
      <c r="C19" s="13" t="s">
        <v>145</v>
      </c>
      <c r="D19" s="13" t="s">
        <v>154</v>
      </c>
      <c r="E19" s="7"/>
      <c r="F19" s="7" t="s">
        <v>1739</v>
      </c>
      <c r="G19" s="7" t="str">
        <f t="shared" si="3"/>
        <v>text</v>
      </c>
      <c r="H19" s="58"/>
      <c r="I19" s="23"/>
      <c r="J19" s="24" t="s">
        <v>1769</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milscm_2023_009.sny_202310_base_mart_shinryou_koui.kaishaku_no IS '解釈番号';</v>
      </c>
    </row>
    <row r="21" spans="1:45" s="25" customFormat="1" ht="37.5">
      <c r="A21" s="4"/>
      <c r="B21" s="21">
        <f t="shared" si="2"/>
        <v>9</v>
      </c>
      <c r="C21" s="13" t="s">
        <v>1745</v>
      </c>
      <c r="D21" s="13" t="s">
        <v>129</v>
      </c>
      <c r="E21" s="7"/>
      <c r="F21" s="7" t="s">
        <v>1746</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1747</v>
      </c>
      <c r="D22" s="13" t="s">
        <v>276</v>
      </c>
      <c r="E22" s="7"/>
      <c r="F22" s="7" t="s">
        <v>1739</v>
      </c>
      <c r="G22" s="7" t="str">
        <f t="shared" si="3"/>
        <v>text</v>
      </c>
      <c r="H22" s="58"/>
      <c r="I22" s="23"/>
      <c r="J22" s="24" t="s">
        <v>1770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milscm_2023_009.sny_202310_base_mart_shinryou_koui.unit IS '基準単位';</v>
      </c>
    </row>
    <row r="23" spans="1:45" s="25" customFormat="1">
      <c r="A23" s="4"/>
      <c r="B23" s="21">
        <f t="shared" si="2"/>
        <v>11</v>
      </c>
      <c r="C23" s="13" t="s">
        <v>1748</v>
      </c>
      <c r="D23" s="13" t="s">
        <v>130</v>
      </c>
      <c r="E23" s="7"/>
      <c r="F23" s="7" t="s">
        <v>1746</v>
      </c>
      <c r="G23" s="7" t="str">
        <f t="shared" si="3"/>
        <v>numeric</v>
      </c>
      <c r="H23" s="58"/>
      <c r="I23" s="23"/>
      <c r="J23" s="24" t="s">
        <v>1770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milscm_2023_009.sny_202310_base_mart_shinryou_koui.meisai_tensu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1765</v>
      </c>
      <c r="D25" s="13" t="s">
        <v>280</v>
      </c>
      <c r="E25" s="7"/>
      <c r="F25" s="7" t="s">
        <v>1746</v>
      </c>
      <c r="G25" s="7" t="str">
        <f t="shared" si="3"/>
        <v>numeric</v>
      </c>
      <c r="H25" s="58"/>
      <c r="I25" s="23"/>
      <c r="J25" s="24" t="s">
        <v>1770</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milscm_2023_009.sny_202310_base_mart_shinryou_koui.dekidaka_tensu IS '出来高実績点数';</v>
      </c>
    </row>
    <row r="26" spans="1:45" s="25" customFormat="1" ht="56.25">
      <c r="A26" s="4"/>
      <c r="B26" s="21">
        <f t="shared" si="2"/>
        <v>14</v>
      </c>
      <c r="C26" s="13" t="s">
        <v>1750</v>
      </c>
      <c r="D26" s="13" t="s">
        <v>132</v>
      </c>
      <c r="E26" s="7"/>
      <c r="F26" s="7" t="s">
        <v>1739</v>
      </c>
      <c r="G26" s="7" t="str">
        <f t="shared" si="3"/>
        <v>text</v>
      </c>
      <c r="H26" s="58"/>
      <c r="I26" s="23"/>
      <c r="J26" s="24" t="s">
        <v>1771</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milscm_2023_009.sny_202310_base_mart_shinryou_koui.koi_meisai_kubun IS '行為明細区分情報';</v>
      </c>
    </row>
    <row r="27" spans="1:45" s="25" customFormat="1" ht="37.5">
      <c r="A27" s="4"/>
      <c r="B27" s="21">
        <f t="shared" si="2"/>
        <v>15</v>
      </c>
      <c r="C27" s="13" t="s">
        <v>1766</v>
      </c>
      <c r="D27" s="13" t="s">
        <v>224</v>
      </c>
      <c r="E27" s="7"/>
      <c r="F27" s="7" t="s">
        <v>1746</v>
      </c>
      <c r="G27" s="7" t="str">
        <f t="shared" si="3"/>
        <v>numeric</v>
      </c>
      <c r="H27" s="58"/>
      <c r="I27" s="23"/>
      <c r="J27" s="24" t="s">
        <v>1772</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1767</v>
      </c>
      <c r="D28" s="13" t="s">
        <v>227</v>
      </c>
      <c r="E28" s="7"/>
      <c r="F28" s="7" t="s">
        <v>1746</v>
      </c>
      <c r="G28" s="7" t="str">
        <f t="shared" si="3"/>
        <v>numeric</v>
      </c>
      <c r="H28" s="58"/>
      <c r="I28" s="23"/>
      <c r="J28" s="24" t="s">
        <v>1770</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1768</v>
      </c>
      <c r="D29" s="13" t="s">
        <v>229</v>
      </c>
      <c r="E29" s="7"/>
      <c r="F29" s="7" t="s">
        <v>1746</v>
      </c>
      <c r="G29" s="7" t="str">
        <f t="shared" si="3"/>
        <v>numeric</v>
      </c>
      <c r="H29" s="58"/>
      <c r="I29" s="23"/>
      <c r="J29" s="24" t="s">
        <v>1770</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1751</v>
      </c>
      <c r="D30" s="13" t="s">
        <v>133</v>
      </c>
      <c r="E30" s="7"/>
      <c r="F30" s="7" t="s">
        <v>1746</v>
      </c>
      <c r="G30" s="7" t="str">
        <f t="shared" si="3"/>
        <v>numeric</v>
      </c>
      <c r="H30" s="58"/>
      <c r="I30" s="23"/>
      <c r="J30" s="24" t="s">
        <v>1770</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1752</v>
      </c>
      <c r="D31" s="13" t="s">
        <v>233</v>
      </c>
      <c r="E31" s="7"/>
      <c r="F31" s="7" t="s">
        <v>1739</v>
      </c>
      <c r="G31" s="7" t="str">
        <f t="shared" si="3"/>
        <v>text</v>
      </c>
      <c r="H31" s="58"/>
      <c r="I31" s="23"/>
      <c r="J31" s="24" t="s">
        <v>1770</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1753</v>
      </c>
      <c r="D32" s="13" t="s">
        <v>155</v>
      </c>
      <c r="E32" s="7" t="s">
        <v>127</v>
      </c>
      <c r="F32" s="7" t="s">
        <v>1739</v>
      </c>
      <c r="G32" s="7" t="str">
        <f t="shared" si="3"/>
        <v>text</v>
      </c>
      <c r="H32" s="58"/>
      <c r="I32" s="23" t="s">
        <v>127</v>
      </c>
      <c r="J32" s="24" t="s">
        <v>1770</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1754</v>
      </c>
      <c r="D33" s="13" t="s">
        <v>235</v>
      </c>
      <c r="E33" s="7"/>
      <c r="F33" s="7" t="s">
        <v>1739</v>
      </c>
      <c r="G33" s="7" t="str">
        <f t="shared" si="3"/>
        <v>text</v>
      </c>
      <c r="H33" s="58"/>
      <c r="I33" s="23"/>
      <c r="J33" s="24" t="s">
        <v>1770</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1739</v>
      </c>
      <c r="G34" s="7" t="str">
        <f t="shared" si="3"/>
        <v>text</v>
      </c>
      <c r="H34" s="58"/>
      <c r="I34" s="23"/>
      <c r="J34" s="24" t="s">
        <v>1770</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milscm_2023_009.sny_202310_base_mart_shinryou_koui.department_kubun IS '診療科区分';</v>
      </c>
    </row>
    <row r="35" spans="1:52" s="25" customFormat="1" ht="37.5">
      <c r="A35" s="4"/>
      <c r="B35" s="21">
        <f t="shared" si="2"/>
        <v>23</v>
      </c>
      <c r="C35" s="13" t="s">
        <v>1755</v>
      </c>
      <c r="D35" s="13" t="s">
        <v>243</v>
      </c>
      <c r="E35" s="7"/>
      <c r="F35" s="7" t="s">
        <v>1739</v>
      </c>
      <c r="G35" s="7" t="str">
        <f t="shared" si="3"/>
        <v>text</v>
      </c>
      <c r="H35" s="58"/>
      <c r="I35" s="23"/>
      <c r="J35" s="24" t="s">
        <v>1762</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milscm_2023_009.sny_202310_base_mart_shinryou_koui.nyugai_kubun IS '入外区分';</v>
      </c>
    </row>
    <row r="36" spans="1:52" s="25" customFormat="1" ht="19.5" thickBot="1">
      <c r="A36" s="4"/>
      <c r="B36" s="27">
        <f>ROW()-12</f>
        <v>24</v>
      </c>
      <c r="C36" s="57" t="s">
        <v>1756</v>
      </c>
      <c r="D36" s="57" t="s">
        <v>1757</v>
      </c>
      <c r="E36" s="56" t="s">
        <v>127</v>
      </c>
      <c r="F36" s="56" t="s">
        <v>204</v>
      </c>
      <c r="G36" s="56" t="str">
        <f t="shared" si="3"/>
        <v>integer</v>
      </c>
      <c r="H36" s="59"/>
      <c r="I36" s="60"/>
      <c r="J36" s="64" t="s">
        <v>1763</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ENT_31_A1-06</v>
      </c>
      <c r="E6" s="240"/>
      <c r="F6" s="240"/>
      <c r="G6" s="240"/>
      <c r="H6" s="240"/>
      <c r="I6" s="240"/>
      <c r="J6" s="241"/>
    </row>
    <row r="7" spans="1:45">
      <c r="B7" s="229" t="s">
        <v>115</v>
      </c>
      <c r="C7" s="230"/>
      <c r="D7" s="231" t="s">
        <v>3695</v>
      </c>
      <c r="E7" s="232"/>
      <c r="F7" s="232"/>
      <c r="G7" s="232"/>
      <c r="H7" s="232"/>
      <c r="I7" s="232"/>
      <c r="J7" s="233"/>
    </row>
    <row r="8" spans="1:45">
      <c r="B8" s="229" t="s">
        <v>116</v>
      </c>
      <c r="C8" s="230"/>
      <c r="D8" s="231" t="str">
        <f>エンティティ一覧!AE2&amp;"_"&amp;D5&amp;"_mart_nyu_tai_in"</f>
        <v>sny_202310_base_mart_nyu_tai_in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バックアップ_入院退院データテーブルから対象患者で絞り込んだ結果を格納するテーブル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milscm_2023_009.sny_202310_base_mart_nyu_tai_in;</v>
      </c>
      <c r="O10" s="76"/>
      <c r="P10" s="76"/>
      <c r="Q10" s="76"/>
      <c r="R10" s="76"/>
      <c r="S10" s="76"/>
      <c r="T10" s="76"/>
      <c r="AJ10" s="76" t="str">
        <f>"ALTER TABLE ONLY "&amp;エンティティ一覧!$O$2&amp;"."&amp;D$8</f>
        <v>ALTER TABLE ONLY milscm_2023_009.sny_202310_base_mart_nyu_tai_in</v>
      </c>
      <c r="AS10" s="76" t="str">
        <f>"ALTER TABLE "&amp;エンティティ一覧!$O$2&amp;"."&amp;D$8&amp;" OWNER TO pgmisgrp1;"</f>
        <v>ALTER TABLE milscm_2023_009.sny_202310_base_mart_nyu_tai_in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milscm_2023_009.sny_202310_base_mart_nyu_tai_in</v>
      </c>
      <c r="O11" s="76"/>
      <c r="P11" s="76"/>
      <c r="Q11" s="76"/>
      <c r="R11" s="76"/>
      <c r="S11" s="76"/>
      <c r="T11" s="76"/>
      <c r="AJ11" s="76" t="str">
        <f>"ADD CONSTRAINT "&amp;D$8&amp;"_pkey PRIMARY KEY"</f>
        <v>ADD CONSTRAINT sny_202310_base_mart_nyu_tai_in_pkey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milscm_2023_009.sny_202310_base_mart_nyu_tai_in IS 'ベース_入院退院データ';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1817</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t="s">
        <v>1817</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milscm_2023_009.sny_202310_base_mart_nyu_tai_in.facility_id IS '施設ID';</v>
      </c>
    </row>
    <row r="15" spans="1:45" s="25" customFormat="1">
      <c r="A15" s="4"/>
      <c r="B15" s="21">
        <f t="shared" si="2"/>
        <v>3</v>
      </c>
      <c r="C15" s="6" t="s">
        <v>1809</v>
      </c>
      <c r="D15" s="6" t="s">
        <v>1810</v>
      </c>
      <c r="E15" s="8"/>
      <c r="F15" s="7" t="s">
        <v>1739</v>
      </c>
      <c r="G15" s="7" t="str">
        <f t="shared" si="3"/>
        <v>text</v>
      </c>
      <c r="H15" s="26"/>
      <c r="I15" s="10" t="s">
        <v>127</v>
      </c>
      <c r="J15" s="11" t="s">
        <v>1818</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milscm_2023_009.sny_202310_base_mart_nyu_tai_in.nyuin_ym IS '入院年月';</v>
      </c>
    </row>
    <row r="16" spans="1:45" s="25" customFormat="1">
      <c r="A16" s="4"/>
      <c r="B16" s="21">
        <f t="shared" si="2"/>
        <v>4</v>
      </c>
      <c r="C16" s="6" t="s">
        <v>1811</v>
      </c>
      <c r="D16" s="6" t="s">
        <v>1812</v>
      </c>
      <c r="E16" s="8"/>
      <c r="F16" s="7" t="s">
        <v>1739</v>
      </c>
      <c r="G16" s="7" t="str">
        <f t="shared" si="3"/>
        <v>text</v>
      </c>
      <c r="H16" s="26"/>
      <c r="I16" s="10" t="s">
        <v>127</v>
      </c>
      <c r="J16" s="11" t="s">
        <v>1819</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milscm_2023_009.sny_202310_base_mart_nyu_tai_in.taiin_ym IS '退院年月';</v>
      </c>
    </row>
    <row r="17" spans="1:52" s="25" customFormat="1">
      <c r="A17" s="4"/>
      <c r="B17" s="21">
        <f t="shared" si="2"/>
        <v>5</v>
      </c>
      <c r="C17" s="6" t="s">
        <v>1813</v>
      </c>
      <c r="D17" s="6" t="s">
        <v>156</v>
      </c>
      <c r="E17" s="8" t="s">
        <v>127</v>
      </c>
      <c r="F17" s="7" t="s">
        <v>1739</v>
      </c>
      <c r="G17" s="7" t="str">
        <f t="shared" si="3"/>
        <v>text</v>
      </c>
      <c r="H17" s="26"/>
      <c r="I17" s="10" t="s">
        <v>127</v>
      </c>
      <c r="J17" s="11" t="s">
        <v>1817</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1814</v>
      </c>
      <c r="D18" s="6" t="s">
        <v>212</v>
      </c>
      <c r="E18" s="8" t="s">
        <v>127</v>
      </c>
      <c r="F18" s="7" t="s">
        <v>1739</v>
      </c>
      <c r="G18" s="7" t="str">
        <f t="shared" si="3"/>
        <v>text</v>
      </c>
      <c r="H18" s="26"/>
      <c r="I18" s="10" t="s">
        <v>127</v>
      </c>
      <c r="J18" s="11" t="s">
        <v>1817</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milscm_2023_009.sny_202310_base_mart_nyu_tai_in.taiin_ymd IS '退院年月日';</v>
      </c>
    </row>
    <row r="19" spans="1:52" s="25" customFormat="1" ht="38.25" thickBot="1">
      <c r="A19" s="4"/>
      <c r="B19" s="27">
        <f>ROW()-12</f>
        <v>7</v>
      </c>
      <c r="C19" s="57" t="s">
        <v>1815</v>
      </c>
      <c r="D19" s="57" t="s">
        <v>1816</v>
      </c>
      <c r="E19" s="56"/>
      <c r="F19" s="56" t="s">
        <v>1739</v>
      </c>
      <c r="G19" s="56" t="str">
        <f t="shared" si="3"/>
        <v>text</v>
      </c>
      <c r="H19" s="59"/>
      <c r="I19" s="60" t="s">
        <v>127</v>
      </c>
      <c r="J19" s="64" t="s">
        <v>1820</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ENT_31_A1-14</v>
      </c>
      <c r="E6" s="240"/>
      <c r="F6" s="240"/>
      <c r="G6" s="240"/>
      <c r="H6" s="240"/>
      <c r="I6" s="240"/>
      <c r="J6" s="241"/>
    </row>
    <row r="7" spans="1:45">
      <c r="B7" s="229" t="s">
        <v>115</v>
      </c>
      <c r="C7" s="230"/>
      <c r="D7" s="231" t="s">
        <v>3696</v>
      </c>
      <c r="E7" s="232"/>
      <c r="F7" s="232"/>
      <c r="G7" s="232"/>
      <c r="H7" s="232"/>
      <c r="I7" s="232"/>
      <c r="J7" s="233"/>
    </row>
    <row r="8" spans="1:45">
      <c r="B8" s="229" t="s">
        <v>116</v>
      </c>
      <c r="C8" s="230"/>
      <c r="D8" s="231" t="str">
        <f>エンティティ一覧!AE2&amp;"_"&amp;D5&amp;"_mart_patient_basic"</f>
        <v>sny_202310_base_mart_patient_basic</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バックアップ_患者基本データテーブルから対象患者で絞り込んだ結果を格納するテーブル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milscm_2023_009.sny_202310_base_mart_patient_basic;</v>
      </c>
      <c r="O10" s="76"/>
      <c r="P10" s="76"/>
      <c r="Q10" s="76"/>
      <c r="R10" s="76"/>
      <c r="S10" s="76"/>
      <c r="T10" s="76"/>
      <c r="AJ10" s="76" t="str">
        <f>"ALTER TABLE ONLY "&amp;エンティティ一覧!$O$2&amp;"."&amp;D$8</f>
        <v>ALTER TABLE ONLY milscm_2023_009.sny_202310_base_mart_patient_basic</v>
      </c>
      <c r="AS10" s="76" t="str">
        <f>"ALTER TABLE "&amp;エンティティ一覧!$O$2&amp;"."&amp;D$8&amp;" OWNER TO pgmisgrp1;"</f>
        <v>ALTER TABLE milscm_2023_009.sny_202310_base_mart_patient_basic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milscm_2023_009.sny_202310_base_mart_patient_basic</v>
      </c>
      <c r="O11" s="76"/>
      <c r="P11" s="76"/>
      <c r="Q11" s="76"/>
      <c r="R11" s="76"/>
      <c r="S11" s="76"/>
      <c r="T11" s="76"/>
      <c r="AJ11" s="76" t="str">
        <f>"ADD CONSTRAINT "&amp;D$8&amp;"_pkey PRIMARY KEY"</f>
        <v>ADD CONSTRAINT sny_202310_base_mart_patient_basic_pkey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milscm_2023_009.sny_202310_base_mart_patient_basic IS 'ベース_患者基本データ';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1846</v>
      </c>
      <c r="D14" s="6" t="s">
        <v>1847</v>
      </c>
      <c r="E14" s="8" t="s">
        <v>127</v>
      </c>
      <c r="F14" s="7" t="s">
        <v>1830</v>
      </c>
      <c r="G14" s="7" t="str">
        <f t="shared" ref="G14:G21" si="3">IF(F14="フラグ","boolean",IF(F14="文字列","text",IF(F14="整数","integer",IF(F14="実数","numeric",""))))</f>
        <v>text</v>
      </c>
      <c r="H14" s="26"/>
      <c r="I14" s="10" t="s">
        <v>127</v>
      </c>
      <c r="J14" s="11" t="s">
        <v>1848</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1828</v>
      </c>
      <c r="D16" s="6" t="s">
        <v>1829</v>
      </c>
      <c r="E16" s="8"/>
      <c r="F16" s="7" t="s">
        <v>1830</v>
      </c>
      <c r="G16" s="7" t="str">
        <f t="shared" si="3"/>
        <v>text</v>
      </c>
      <c r="H16" s="26"/>
      <c r="I16" s="10"/>
      <c r="J16" s="11" t="s">
        <v>1852</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1831</v>
      </c>
      <c r="D17" s="6" t="s">
        <v>1832</v>
      </c>
      <c r="E17" s="8"/>
      <c r="F17" s="7" t="s">
        <v>1823</v>
      </c>
      <c r="G17" s="7" t="str">
        <f t="shared" si="3"/>
        <v>text</v>
      </c>
      <c r="H17" s="26"/>
      <c r="I17" s="10"/>
      <c r="J17" s="11" t="s">
        <v>1852</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milscm_2023_009.sny_202310_base_mart_patient_basic.shinryo_ym_max IS '診療年月_最大';</v>
      </c>
    </row>
    <row r="18" spans="1:52" s="25" customFormat="1">
      <c r="A18" s="4"/>
      <c r="B18" s="21">
        <f t="shared" si="2"/>
        <v>6</v>
      </c>
      <c r="C18" s="6" t="s">
        <v>1833</v>
      </c>
      <c r="D18" s="6" t="s">
        <v>947</v>
      </c>
      <c r="E18" s="8"/>
      <c r="F18" s="7" t="s">
        <v>1739</v>
      </c>
      <c r="G18" s="7" t="str">
        <f t="shared" si="3"/>
        <v>text</v>
      </c>
      <c r="H18" s="26"/>
      <c r="I18" s="10" t="s">
        <v>127</v>
      </c>
      <c r="J18" s="11" t="s">
        <v>1853</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milscm_2023_009.sny_202310_base_mart_patient_basic.sex_kubun IS '男女区分';</v>
      </c>
    </row>
    <row r="19" spans="1:52" s="25" customFormat="1" ht="56.25">
      <c r="A19" s="4"/>
      <c r="B19" s="21">
        <f t="shared" si="2"/>
        <v>7</v>
      </c>
      <c r="C19" s="6" t="s">
        <v>1834</v>
      </c>
      <c r="D19" s="6" t="s">
        <v>322</v>
      </c>
      <c r="E19" s="8"/>
      <c r="F19" s="7" t="s">
        <v>1739</v>
      </c>
      <c r="G19" s="7" t="str">
        <f t="shared" si="3"/>
        <v>text</v>
      </c>
      <c r="H19" s="26"/>
      <c r="I19" s="10" t="s">
        <v>127</v>
      </c>
      <c r="J19" s="11" t="s">
        <v>1854</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milscm_2023_009.sny_202310_base_mart_patient_basic.birthday IS '生年月日';</v>
      </c>
    </row>
    <row r="20" spans="1:52" s="25" customFormat="1" ht="75">
      <c r="A20" s="4"/>
      <c r="B20" s="21">
        <f t="shared" si="2"/>
        <v>8</v>
      </c>
      <c r="C20" s="6" t="s">
        <v>1280</v>
      </c>
      <c r="D20" s="6" t="s">
        <v>1281</v>
      </c>
      <c r="E20" s="8"/>
      <c r="F20" s="7" t="s">
        <v>317</v>
      </c>
      <c r="G20" s="7" t="str">
        <f t="shared" si="3"/>
        <v>text</v>
      </c>
      <c r="H20" s="26"/>
      <c r="I20" s="10"/>
      <c r="J20" s="11" t="s">
        <v>1855</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milscm_2023_009.sny_202310_base_mart_patient_basic.death_flag IS '死亡フラグ';</v>
      </c>
    </row>
    <row r="21" spans="1:52" s="25" customFormat="1" ht="75.75" thickBot="1">
      <c r="A21" s="4"/>
      <c r="B21" s="27">
        <f>ROW()-12</f>
        <v>9</v>
      </c>
      <c r="C21" s="57" t="s">
        <v>1282</v>
      </c>
      <c r="D21" s="57" t="s">
        <v>1283</v>
      </c>
      <c r="E21" s="56"/>
      <c r="F21" s="56" t="s">
        <v>317</v>
      </c>
      <c r="G21" s="56" t="str">
        <f t="shared" si="3"/>
        <v>text</v>
      </c>
      <c r="H21" s="59"/>
      <c r="I21" s="60"/>
      <c r="J21" s="64" t="s">
        <v>1856</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ENT_31_A6-02</v>
      </c>
      <c r="E6" s="240"/>
      <c r="F6" s="240"/>
      <c r="G6" s="240"/>
      <c r="H6" s="240"/>
      <c r="I6" s="240"/>
      <c r="J6" s="241"/>
    </row>
    <row r="7" spans="1:45">
      <c r="B7" s="229" t="s">
        <v>115</v>
      </c>
      <c r="C7" s="230"/>
      <c r="D7" s="231" t="s">
        <v>3697</v>
      </c>
      <c r="E7" s="232"/>
      <c r="F7" s="232"/>
      <c r="G7" s="232"/>
      <c r="H7" s="232"/>
      <c r="I7" s="232"/>
      <c r="J7" s="233"/>
    </row>
    <row r="8" spans="1:45">
      <c r="B8" s="229" t="s">
        <v>116</v>
      </c>
      <c r="C8" s="230"/>
      <c r="D8" s="231" t="str">
        <f>エンティティ一覧!AE2&amp;"_"&amp;D5&amp;"_text_mml_common"</f>
        <v>sny_202310_base_text_mml_common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バックアップ_MML共通テーブルから対象患者で絞り込んだ結果を格納するテーブル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milscm_2023_009.sny_202310_base_text_mml_common;</v>
      </c>
      <c r="O10" s="76"/>
      <c r="P10" s="76"/>
      <c r="Q10" s="76"/>
      <c r="R10" s="76"/>
      <c r="S10" s="76"/>
      <c r="T10" s="76"/>
      <c r="AJ10" s="76" t="str">
        <f>"ALTER TABLE ONLY "&amp;エンティティ一覧!$O$2&amp;"."&amp;D$8</f>
        <v>ALTER TABLE ONLY milscm_2023_009.sny_202310_base_text_mml_common</v>
      </c>
      <c r="AS10" s="76" t="str">
        <f>"ALTER TABLE "&amp;エンティティ一覧!$O$2&amp;"."&amp;D$8&amp;" OWNER TO pgmisgrp1;"</f>
        <v>ALTER TABLE milscm_2023_009.sny_202310_base_text_mml_common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milscm_2023_009.sny_202310_base_text_mml_common</v>
      </c>
      <c r="O11" s="76"/>
      <c r="P11" s="76"/>
      <c r="Q11" s="76"/>
      <c r="R11" s="76"/>
      <c r="S11" s="76"/>
      <c r="T11" s="76"/>
      <c r="AJ11" s="76" t="str">
        <f>"ADD CONSTRAINT "&amp;D$8&amp;"_pkey PRIMARY KEY"</f>
        <v>ADD CONSTRAINT sny_202310_base_text_mml_common_pkey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milscm_2023_009.sny_202310_base_text_mml_common IS 'ベース_MML共通';</v>
      </c>
    </row>
    <row r="13" spans="1:45" s="25" customFormat="1">
      <c r="A13" s="4"/>
      <c r="B13" s="21">
        <f>ROW()-12</f>
        <v>1</v>
      </c>
      <c r="C13" s="6" t="s">
        <v>2782</v>
      </c>
      <c r="D13" s="6" t="s">
        <v>2783</v>
      </c>
      <c r="E13" s="8" t="s">
        <v>127</v>
      </c>
      <c r="F13" s="8" t="s">
        <v>3271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2785</v>
      </c>
      <c r="D14" s="6" t="s">
        <v>2786</v>
      </c>
      <c r="E14" s="8" t="s">
        <v>127</v>
      </c>
      <c r="F14" s="7" t="s">
        <v>3271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milscm_2023_009.sny_202310_base_text_mml_common.file_no IS 'ファイルNo';</v>
      </c>
    </row>
    <row r="15" spans="1:45" s="25" customFormat="1">
      <c r="A15" s="4"/>
      <c r="B15" s="21">
        <f t="shared" si="2"/>
        <v>3</v>
      </c>
      <c r="C15" s="6" t="s">
        <v>3260</v>
      </c>
      <c r="D15" s="6" t="s">
        <v>2788</v>
      </c>
      <c r="E15" s="8" t="s">
        <v>127</v>
      </c>
      <c r="F15" s="7" t="s">
        <v>3271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milscm_2023_009.sny_202310_base_text_mml_common.body_no IS '本文No';</v>
      </c>
    </row>
    <row r="16" spans="1:45" s="25" customFormat="1">
      <c r="A16" s="4"/>
      <c r="B16" s="21">
        <f t="shared" si="2"/>
        <v>4</v>
      </c>
      <c r="C16" s="6" t="s">
        <v>3261</v>
      </c>
      <c r="D16" s="6" t="s">
        <v>2405</v>
      </c>
      <c r="E16" s="8"/>
      <c r="F16" s="7" t="s">
        <v>317</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2790</v>
      </c>
      <c r="D17" s="6" t="s">
        <v>1248</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milscm_2023_009.sny_202310_base_text_mml_common.master_id IS '患者ID';</v>
      </c>
    </row>
    <row r="18" spans="1:52" s="25" customFormat="1">
      <c r="A18" s="4"/>
      <c r="B18" s="21">
        <f t="shared" si="2"/>
        <v>6</v>
      </c>
      <c r="C18" s="6" t="s">
        <v>3262</v>
      </c>
      <c r="D18" s="6" t="s">
        <v>1250</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milscm_2023_009.sny_202310_base_text_mml_common.uid IS 'UID';</v>
      </c>
    </row>
    <row r="19" spans="1:52" s="25" customFormat="1">
      <c r="A19" s="4"/>
      <c r="B19" s="21">
        <f t="shared" si="2"/>
        <v>7</v>
      </c>
      <c r="C19" s="6" t="s">
        <v>3263</v>
      </c>
      <c r="D19" s="6" t="s">
        <v>3264</v>
      </c>
      <c r="E19" s="8"/>
      <c r="F19" s="7" t="s">
        <v>317</v>
      </c>
      <c r="G19" s="7" t="str">
        <f t="shared" si="3"/>
        <v>text</v>
      </c>
      <c r="H19" s="26"/>
      <c r="I19" s="10" t="s">
        <v>127</v>
      </c>
      <c r="J19" s="11" t="s">
        <v>2796</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3265</v>
      </c>
      <c r="D20" s="6" t="s">
        <v>3266</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3267</v>
      </c>
      <c r="D21" s="6" t="s">
        <v>3268</v>
      </c>
      <c r="E21" s="8"/>
      <c r="F21" s="7" t="s">
        <v>317</v>
      </c>
      <c r="G21" s="7" t="str">
        <f t="shared" si="3"/>
        <v>text</v>
      </c>
      <c r="H21" s="26"/>
      <c r="I21" s="10" t="s">
        <v>127</v>
      </c>
      <c r="J21" s="11" t="s">
        <v>3273</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3269</v>
      </c>
      <c r="D22" s="6" t="s">
        <v>2510</v>
      </c>
      <c r="E22" s="8"/>
      <c r="F22" s="7" t="s">
        <v>2420</v>
      </c>
      <c r="G22" s="7" t="str">
        <f t="shared" si="3"/>
        <v>boolean</v>
      </c>
      <c r="H22" s="26" t="b">
        <v>1</v>
      </c>
      <c r="I22" s="10" t="s">
        <v>127</v>
      </c>
      <c r="J22" s="11" t="s">
        <v>3274</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milscm_2023_009.sny_202310_base_text_mml_common.new_f IS '最新フラグ';</v>
      </c>
    </row>
    <row r="23" spans="1:52" s="25" customFormat="1" ht="19.5" thickBot="1">
      <c r="A23" s="4"/>
      <c r="B23" s="27">
        <f>ROW()-12</f>
        <v>11</v>
      </c>
      <c r="C23" s="57" t="s">
        <v>3270</v>
      </c>
      <c r="D23" s="57" t="s">
        <v>1906</v>
      </c>
      <c r="E23" s="56"/>
      <c r="F23" s="56" t="s">
        <v>2420</v>
      </c>
      <c r="G23" s="56" t="str">
        <f t="shared" si="3"/>
        <v>boolean</v>
      </c>
      <c r="H23" s="59" t="b">
        <v>0</v>
      </c>
      <c r="I23" s="60" t="s">
        <v>127</v>
      </c>
      <c r="J23" s="64" t="s">
        <v>3275</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ENT_31_A6-03</v>
      </c>
      <c r="E6" s="240"/>
      <c r="F6" s="240"/>
      <c r="G6" s="240"/>
      <c r="H6" s="240"/>
      <c r="I6" s="240"/>
      <c r="J6" s="241"/>
    </row>
    <row r="7" spans="1:45">
      <c r="B7" s="229" t="s">
        <v>115</v>
      </c>
      <c r="C7" s="230"/>
      <c r="D7" s="231" t="s">
        <v>3698</v>
      </c>
      <c r="E7" s="232"/>
      <c r="F7" s="232"/>
      <c r="G7" s="232"/>
      <c r="H7" s="232"/>
      <c r="I7" s="232"/>
      <c r="J7" s="233"/>
    </row>
    <row r="8" spans="1:45">
      <c r="B8" s="229" t="s">
        <v>116</v>
      </c>
      <c r="C8" s="230"/>
      <c r="D8" s="231" t="str">
        <f>エンティティ一覧!AE2&amp;"_"&amp;D5&amp;"_text_mml_mmlrd_body"</f>
        <v>sny_202310_base_text_mml_mmlrd_body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milscm_2023_009.sny_202310_base_text_mml_mmlrd_body;</v>
      </c>
      <c r="O10" s="76"/>
      <c r="P10" s="76"/>
      <c r="Q10" s="76"/>
      <c r="R10" s="76"/>
      <c r="S10" s="76"/>
      <c r="T10" s="76"/>
      <c r="AJ10" s="76" t="str">
        <f>"ALTER TABLE ONLY "&amp;エンティティ一覧!$O$2&amp;"."&amp;D$8</f>
        <v>ALTER TABLE ONLY milscm_2023_009.sny_202310_base_text_mml_mmlrd_body</v>
      </c>
      <c r="AS10" s="76" t="str">
        <f>"ALTER TABLE "&amp;エンティティ一覧!$O$2&amp;"."&amp;D$8&amp;" OWNER TO pgmisgrp1;"</f>
        <v>ALTER TABLE milscm_2023_009.sny_202310_base_text_mml_mmlrd_body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milscm_2023_009.sny_202310_base_text_mml_mmlrd_body</v>
      </c>
      <c r="O11" s="76"/>
      <c r="P11" s="76"/>
      <c r="Q11" s="76"/>
      <c r="R11" s="76"/>
      <c r="S11" s="76"/>
      <c r="T11" s="76"/>
      <c r="AJ11" s="76" t="str">
        <f>"ADD CONSTRAINT "&amp;D$8&amp;"_pkey PRIMARY KEY"</f>
        <v>ADD CONSTRAINT sny_202310_base_text_mml_mmlrd_body_pkey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milscm_2023_009.sny_202310_base_text_mml_mmlrd_body.master_id IS '患者ID';</v>
      </c>
    </row>
    <row r="18" spans="1:52" s="25" customFormat="1">
      <c r="A18" s="4"/>
      <c r="B18" s="21">
        <f t="shared" si="2"/>
        <v>6</v>
      </c>
      <c r="C18" s="6" t="s">
        <v>1305</v>
      </c>
      <c r="D18" s="6" t="s">
        <v>2791</v>
      </c>
      <c r="E18" s="8"/>
      <c r="F18" s="7" t="s">
        <v>1823</v>
      </c>
      <c r="G18" s="7" t="str">
        <f t="shared" si="3"/>
        <v>text</v>
      </c>
      <c r="H18" s="26"/>
      <c r="I18" s="10"/>
      <c r="J18" s="11" t="s">
        <v>2796</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1307</v>
      </c>
      <c r="D19" s="6" t="s">
        <v>2792</v>
      </c>
      <c r="E19" s="8"/>
      <c r="F19" s="7" t="s">
        <v>1823</v>
      </c>
      <c r="G19" s="7" t="str">
        <f t="shared" si="3"/>
        <v>text</v>
      </c>
      <c r="H19" s="26"/>
      <c r="I19" s="10"/>
      <c r="J19" s="11" t="s">
        <v>2796</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1309</v>
      </c>
      <c r="D20" s="6" t="s">
        <v>2793</v>
      </c>
      <c r="E20" s="8"/>
      <c r="F20" s="7" t="s">
        <v>1823</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milscm_2023_009.sny_202310_base_text_mml_mmlrd_body.outcome IS '転帰';</v>
      </c>
    </row>
    <row r="21" spans="1:52" s="25" customFormat="1" ht="19.5" thickBot="1">
      <c r="A21" s="4"/>
      <c r="B21" s="27">
        <f>ROW()-12</f>
        <v>9</v>
      </c>
      <c r="C21" s="57" t="s">
        <v>1311</v>
      </c>
      <c r="D21" s="57" t="s">
        <v>2794</v>
      </c>
      <c r="E21" s="56"/>
      <c r="F21" s="56" t="s">
        <v>1823</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ENT_31_A6-04</v>
      </c>
      <c r="E6" s="240"/>
      <c r="F6" s="240"/>
      <c r="G6" s="240"/>
      <c r="H6" s="240"/>
      <c r="I6" s="240"/>
      <c r="J6" s="241"/>
    </row>
    <row r="7" spans="1:45">
      <c r="B7" s="229" t="s">
        <v>115</v>
      </c>
      <c r="C7" s="230"/>
      <c r="D7" s="231" t="s">
        <v>3699</v>
      </c>
      <c r="E7" s="232"/>
      <c r="F7" s="232"/>
      <c r="G7" s="232"/>
      <c r="H7" s="232"/>
      <c r="I7" s="232"/>
      <c r="J7" s="233"/>
    </row>
    <row r="8" spans="1:45">
      <c r="B8" s="229" t="s">
        <v>116</v>
      </c>
      <c r="C8" s="230"/>
      <c r="D8" s="231" t="str">
        <f>エンティティ一覧!AE2&amp;"_"&amp;D5&amp;"_text_mml_mmlrd_byomei"</f>
        <v>sny_202310_base_text_mml_mmlrd_byomei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milscm_2023_009.sny_202310_base_text_mml_mmlrd_byomei;</v>
      </c>
      <c r="O10" s="76"/>
      <c r="P10" s="76"/>
      <c r="Q10" s="76"/>
      <c r="R10" s="76"/>
      <c r="S10" s="76"/>
      <c r="T10" s="76"/>
      <c r="AJ10" s="76" t="str">
        <f>"ALTER TABLE ONLY "&amp;エンティティ一覧!$O$2&amp;"."&amp;D$8</f>
        <v>ALTER TABLE ONLY milscm_2023_009.sny_202310_base_text_mml_mmlrd_byomei</v>
      </c>
      <c r="AS10" s="76" t="str">
        <f>"ALTER TABLE "&amp;エンティティ一覧!$O$2&amp;"."&amp;D$8&amp;" OWNER TO pgmisgrp1;"</f>
        <v>ALTER TABLE milscm_2023_009.sny_202310_base_text_mml_mmlrd_byomei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milscm_2023_009.sny_202310_base_text_mml_mmlrd_byomei</v>
      </c>
      <c r="O11" s="76"/>
      <c r="P11" s="76"/>
      <c r="Q11" s="76"/>
      <c r="R11" s="76"/>
      <c r="S11" s="76"/>
      <c r="T11" s="76"/>
      <c r="AJ11" s="76" t="str">
        <f>"ADD CONSTRAINT "&amp;D$8&amp;"_pkey PRIMARY KEY"</f>
        <v>ADD CONSTRAINT sny_202310_base_text_mml_mmlrd_byomei_pkey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2798</v>
      </c>
      <c r="D18" s="6" t="s">
        <v>2799</v>
      </c>
      <c r="E18" s="8" t="s">
        <v>127</v>
      </c>
      <c r="F18" s="7" t="s">
        <v>2784</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2800</v>
      </c>
      <c r="D19" s="6" t="s">
        <v>2801</v>
      </c>
      <c r="E19" s="8"/>
      <c r="F19" s="7" t="s">
        <v>1823</v>
      </c>
      <c r="G19" s="7" t="str">
        <f t="shared" si="3"/>
        <v>text</v>
      </c>
      <c r="H19" s="26"/>
      <c r="I19" s="10"/>
      <c r="J19" s="11" t="s">
        <v>2806</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milscm_2023_009.sny_202310_base_text_mml_mmlrd_byomei.tag_name IS 'タグ名';</v>
      </c>
    </row>
    <row r="20" spans="1:52" s="25" customFormat="1" ht="37.5">
      <c r="A20" s="4"/>
      <c r="B20" s="21">
        <f t="shared" si="2"/>
        <v>8</v>
      </c>
      <c r="C20" s="6" t="s">
        <v>1323</v>
      </c>
      <c r="D20" s="6" t="s">
        <v>2802</v>
      </c>
      <c r="E20" s="8"/>
      <c r="F20" s="7" t="s">
        <v>1823</v>
      </c>
      <c r="G20" s="7" t="str">
        <f t="shared" si="3"/>
        <v>text</v>
      </c>
      <c r="H20" s="26"/>
      <c r="I20" s="10"/>
      <c r="J20" s="11" t="s">
        <v>2807</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milscm_2023_009.sny_202310_base_text_mml_mmlrd_byomei.diagnosis IS '病名';</v>
      </c>
    </row>
    <row r="21" spans="1:52" s="25" customFormat="1">
      <c r="A21" s="4"/>
      <c r="B21" s="21">
        <f t="shared" si="2"/>
        <v>9</v>
      </c>
      <c r="C21" s="6" t="s">
        <v>2803</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milscm_2023_009.sny_202310_base_text_mml_mmlrd_byomei.code IS 'コード値';</v>
      </c>
    </row>
    <row r="22" spans="1:52" s="25" customFormat="1" ht="19.5" thickBot="1">
      <c r="A22" s="4"/>
      <c r="B22" s="27">
        <f>ROW()-12</f>
        <v>10</v>
      </c>
      <c r="C22" s="57" t="s">
        <v>2804</v>
      </c>
      <c r="D22" s="57" t="s">
        <v>2805</v>
      </c>
      <c r="E22" s="56"/>
      <c r="F22" s="56" t="s">
        <v>1823</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ENT_31_A6-18</v>
      </c>
      <c r="E6" s="240"/>
      <c r="F6" s="240"/>
      <c r="G6" s="240"/>
      <c r="H6" s="240"/>
      <c r="I6" s="240"/>
      <c r="J6" s="241"/>
    </row>
    <row r="7" spans="1:45">
      <c r="B7" s="229" t="s">
        <v>115</v>
      </c>
      <c r="C7" s="230"/>
      <c r="D7" s="231" t="s">
        <v>4012</v>
      </c>
      <c r="E7" s="232"/>
      <c r="F7" s="232"/>
      <c r="G7" s="232"/>
      <c r="H7" s="232"/>
      <c r="I7" s="232"/>
      <c r="J7" s="233"/>
    </row>
    <row r="8" spans="1:45">
      <c r="B8" s="229" t="s">
        <v>116</v>
      </c>
      <c r="C8" s="230"/>
      <c r="D8" s="231" t="str">
        <f>エンティティ一覧!AE2&amp;"_"&amp;D5&amp;"_text_mml_mmllb_body"</f>
        <v>sny_202310_base_text_mml_mmllb_body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milscm_2023_009.sny_202310_base_text_mml_mmllb_body;</v>
      </c>
      <c r="O10" s="76"/>
      <c r="P10" s="76"/>
      <c r="Q10" s="76"/>
      <c r="R10" s="76"/>
      <c r="S10" s="76"/>
      <c r="T10" s="76"/>
      <c r="AJ10" s="76" t="str">
        <f>"ALTER TABLE ONLY "&amp;エンティティ一覧!$O$2&amp;"."&amp;D$8</f>
        <v>ALTER TABLE ONLY milscm_2023_009.sny_202310_base_text_mml_mmllb_body</v>
      </c>
      <c r="AS10" s="76" t="str">
        <f>"ALTER TABLE "&amp;エンティティ一覧!$O$2&amp;"."&amp;D$8&amp;" OWNER TO pgmisgrp1;"</f>
        <v>ALTER TABLE milscm_2023_009.sny_202310_base_text_mml_mmllb_body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milscm_2023_009.sny_202310_base_text_mml_mmllb_body</v>
      </c>
      <c r="O11" s="76"/>
      <c r="P11" s="76"/>
      <c r="Q11" s="76"/>
      <c r="R11" s="76"/>
      <c r="S11" s="76"/>
      <c r="T11" s="76"/>
      <c r="AJ11" s="76" t="str">
        <f>"ADD CONSTRAINT "&amp;D$8&amp;"_pkey PRIMARY KEY"</f>
        <v>ADD CONSTRAINT sny_202310_base_text_mml_mmllb_body_pkey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milscm_2023_009.sny_202310_base_text_mml_mmllb_body IS 'ベース_MML_検歴情報モジュール_本文';</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milscm_2023_009.sny_202310_base_text_mml_mmllb_body.zip_no IS 'ZipファイルNo';</v>
      </c>
    </row>
    <row r="14" spans="1:45" s="25" customFormat="1">
      <c r="A14" s="4"/>
      <c r="B14" s="21">
        <f t="shared" ref="B14:B45" si="2">ROW()-12</f>
        <v>2</v>
      </c>
      <c r="C14" s="6" t="s">
        <v>2785</v>
      </c>
      <c r="D14" s="6" t="s">
        <v>2786</v>
      </c>
      <c r="E14" s="8" t="s">
        <v>127</v>
      </c>
      <c r="F14" s="7" t="s">
        <v>3276</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milscm_2023_009.sny_202310_base_text_mml_mmllb_body.file_no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milscm_2023_009.sny_202310_base_text_mml_mmllb_body.body_no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milscm_2023_009.sny_202310_base_text_mml_mmllb_body.facility_id_mml IS '施設ID（MML）';</v>
      </c>
    </row>
    <row r="17" spans="1:45"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milscm_2023_009.sny_202310_base_text_mml_mmllb_body.master_id IS '患者ID';</v>
      </c>
    </row>
    <row r="18" spans="1:45" s="25" customFormat="1">
      <c r="A18" s="4"/>
      <c r="B18" s="21">
        <f t="shared" si="2"/>
        <v>6</v>
      </c>
      <c r="C18" s="6" t="s">
        <v>1548</v>
      </c>
      <c r="D18" s="6" t="s">
        <v>3869</v>
      </c>
      <c r="E18" s="8"/>
      <c r="F18" s="7" t="s">
        <v>3278</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milscm_2023_009.sny_202310_base_text_mml_mmllb_body.regist_id IS '依頼ID';</v>
      </c>
    </row>
    <row r="19" spans="1:45" s="25" customFormat="1">
      <c r="A19" s="4"/>
      <c r="B19" s="21">
        <f t="shared" si="2"/>
        <v>7</v>
      </c>
      <c r="C19" s="6" t="s">
        <v>1550</v>
      </c>
      <c r="D19" s="6" t="s">
        <v>1551</v>
      </c>
      <c r="E19" s="8"/>
      <c r="F19" s="7" t="s">
        <v>3278</v>
      </c>
      <c r="G19" s="7" t="str">
        <f t="shared" si="3"/>
        <v>text</v>
      </c>
      <c r="H19" s="26"/>
      <c r="I19" s="10"/>
      <c r="J19" s="11" t="s">
        <v>2796</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milscm_2023_009.sny_202310_base_text_mml_mmllb_body.sample_time IS '採取日時';</v>
      </c>
    </row>
    <row r="20" spans="1:45" s="25" customFormat="1">
      <c r="A20" s="4"/>
      <c r="B20" s="21">
        <f t="shared" si="2"/>
        <v>8</v>
      </c>
      <c r="C20" s="6" t="s">
        <v>1552</v>
      </c>
      <c r="D20" s="6" t="s">
        <v>3870</v>
      </c>
      <c r="E20" s="8"/>
      <c r="F20" s="7" t="s">
        <v>3278</v>
      </c>
      <c r="G20" s="7" t="str">
        <f t="shared" si="3"/>
        <v>text</v>
      </c>
      <c r="H20" s="26"/>
      <c r="I20" s="10"/>
      <c r="J20" s="11" t="s">
        <v>2796</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milscm_2023_009.sny_202310_base_text_mml_mmllb_body.regist_time IS '受付日時';</v>
      </c>
    </row>
    <row r="21" spans="1:45" s="25" customFormat="1">
      <c r="A21" s="4"/>
      <c r="B21" s="21">
        <f t="shared" si="2"/>
        <v>9</v>
      </c>
      <c r="C21" s="6" t="s">
        <v>1554</v>
      </c>
      <c r="D21" s="6" t="s">
        <v>1555</v>
      </c>
      <c r="E21" s="8"/>
      <c r="F21" s="7" t="s">
        <v>3278</v>
      </c>
      <c r="G21" s="7" t="str">
        <f t="shared" si="3"/>
        <v>text</v>
      </c>
      <c r="H21" s="26"/>
      <c r="I21" s="10"/>
      <c r="J21" s="11" t="s">
        <v>2796</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milscm_2023_009.sny_202310_base_text_mml_mmllb_body.report_time IS '報告日時';</v>
      </c>
    </row>
    <row r="22" spans="1:45" s="25" customFormat="1">
      <c r="A22" s="4"/>
      <c r="B22" s="21">
        <f t="shared" si="2"/>
        <v>10</v>
      </c>
      <c r="C22" s="6" t="s">
        <v>1556</v>
      </c>
      <c r="D22" s="6" t="s">
        <v>2945</v>
      </c>
      <c r="E22" s="8"/>
      <c r="F22" s="7" t="s">
        <v>3278</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milscm_2023_009.sny_202310_base_text_mml_mmllb_body.report_status IS '報告状態';</v>
      </c>
    </row>
    <row r="23" spans="1:45" s="25" customFormat="1">
      <c r="A23" s="4"/>
      <c r="B23" s="21">
        <f t="shared" si="2"/>
        <v>11</v>
      </c>
      <c r="C23" s="6" t="s">
        <v>1558</v>
      </c>
      <c r="D23" s="6" t="s">
        <v>1559</v>
      </c>
      <c r="E23" s="8"/>
      <c r="F23" s="7" t="s">
        <v>3278</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milscm_2023_009.sny_202310_base_text_mml_mmllb_body.status_code IS '報告状態コード';</v>
      </c>
    </row>
    <row r="24" spans="1:45" s="25" customFormat="1">
      <c r="A24" s="4"/>
      <c r="B24" s="21">
        <f t="shared" si="2"/>
        <v>12</v>
      </c>
      <c r="C24" s="6" t="s">
        <v>2947</v>
      </c>
      <c r="D24" s="6" t="s">
        <v>3871</v>
      </c>
      <c r="E24" s="8"/>
      <c r="F24" s="7" t="s">
        <v>3278</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milscm_2023_009.sny_202310_base_text_mml_mmllb_body.status_code_id IS '報告状態コードID';</v>
      </c>
    </row>
    <row r="25" spans="1:45" s="25" customFormat="1">
      <c r="A25" s="4"/>
      <c r="B25" s="21">
        <f t="shared" si="2"/>
        <v>13</v>
      </c>
      <c r="C25" s="6" t="s">
        <v>1560</v>
      </c>
      <c r="D25" s="6" t="s">
        <v>3872</v>
      </c>
      <c r="E25" s="8"/>
      <c r="F25" s="7" t="s">
        <v>3278</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milscm_2023_009.sny_202310_base_text_mml_mmllb_body.set IS 'セット名';</v>
      </c>
    </row>
    <row r="26" spans="1:45" s="25" customFormat="1">
      <c r="A26" s="4"/>
      <c r="B26" s="21">
        <f t="shared" si="2"/>
        <v>14</v>
      </c>
      <c r="C26" s="6" t="s">
        <v>1562</v>
      </c>
      <c r="D26" s="6" t="s">
        <v>3873</v>
      </c>
      <c r="E26" s="8"/>
      <c r="F26" s="7" t="s">
        <v>3278</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milscm_2023_009.sny_202310_base_text_mml_mmllb_body.set_code IS 'セット名コード';</v>
      </c>
    </row>
    <row r="27" spans="1:45" s="25" customFormat="1">
      <c r="A27" s="4"/>
      <c r="B27" s="21">
        <f t="shared" si="2"/>
        <v>15</v>
      </c>
      <c r="C27" s="6" t="s">
        <v>1564</v>
      </c>
      <c r="D27" s="6" t="s">
        <v>3874</v>
      </c>
      <c r="E27" s="8"/>
      <c r="F27" s="7" t="s">
        <v>3278</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milscm_2023_009.sny_202310_base_text_mml_mmllb_body.set_code_id IS 'セット名コードID';</v>
      </c>
    </row>
    <row r="28" spans="1:45" s="25" customFormat="1">
      <c r="A28" s="4"/>
      <c r="B28" s="21">
        <f t="shared" si="2"/>
        <v>16</v>
      </c>
      <c r="C28" s="6" t="s">
        <v>2963</v>
      </c>
      <c r="D28" s="6" t="s">
        <v>3875</v>
      </c>
      <c r="E28" s="8"/>
      <c r="F28" s="7" t="s">
        <v>3278</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milscm_2023_009.sny_202310_base_text_mml_mmllb_body.facility IS '依頼施設';</v>
      </c>
    </row>
    <row r="29" spans="1:45" s="25" customFormat="1">
      <c r="A29" s="4"/>
      <c r="B29" s="21">
        <f t="shared" si="2"/>
        <v>17</v>
      </c>
      <c r="C29" s="6" t="s">
        <v>1568</v>
      </c>
      <c r="D29" s="6" t="s">
        <v>3876</v>
      </c>
      <c r="E29" s="8"/>
      <c r="F29" s="7" t="s">
        <v>3278</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milscm_2023_009.sny_202310_base_text_mml_mmllb_body.facility_code IS '依頼施設コード';</v>
      </c>
    </row>
    <row r="30" spans="1:45" s="25" customFormat="1">
      <c r="A30" s="4"/>
      <c r="B30" s="21">
        <f t="shared" si="2"/>
        <v>18</v>
      </c>
      <c r="C30" s="6" t="s">
        <v>1570</v>
      </c>
      <c r="D30" s="6" t="s">
        <v>3877</v>
      </c>
      <c r="E30" s="8"/>
      <c r="F30" s="7" t="s">
        <v>3278</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milscm_2023_009.sny_202310_base_text_mml_mmllb_body.facility_code_id IS '依頼施設コードID';</v>
      </c>
    </row>
    <row r="31" spans="1:45" s="25" customFormat="1">
      <c r="A31" s="4"/>
      <c r="B31" s="21">
        <f t="shared" si="2"/>
        <v>19</v>
      </c>
      <c r="C31" s="6" t="s">
        <v>1572</v>
      </c>
      <c r="D31" s="6" t="s">
        <v>3878</v>
      </c>
      <c r="E31" s="8"/>
      <c r="F31" s="7" t="s">
        <v>3278</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milscm_2023_009.sny_202310_base_text_mml_mmllb_body.department IS '依頼診療科';</v>
      </c>
    </row>
    <row r="32" spans="1:45" s="25" customFormat="1">
      <c r="A32" s="4"/>
      <c r="B32" s="21">
        <f t="shared" si="2"/>
        <v>20</v>
      </c>
      <c r="C32" s="6" t="s">
        <v>1574</v>
      </c>
      <c r="D32" s="6" t="s">
        <v>1685</v>
      </c>
      <c r="E32" s="8"/>
      <c r="F32" s="7" t="s">
        <v>3278</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milscm_2023_009.sny_202310_base_text_mml_mmllb_body.department_code IS '依頼診療科コード';</v>
      </c>
    </row>
    <row r="33" spans="1:52" s="25" customFormat="1">
      <c r="A33" s="4"/>
      <c r="B33" s="21">
        <f t="shared" si="2"/>
        <v>21</v>
      </c>
      <c r="C33" s="6" t="s">
        <v>2969</v>
      </c>
      <c r="D33" s="6" t="s">
        <v>3879</v>
      </c>
      <c r="E33" s="8"/>
      <c r="F33" s="7" t="s">
        <v>3278</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milscm_2023_009.sny_202310_base_text_mml_mmllb_body.department_code_id IS '依頼診療科コードID';</v>
      </c>
    </row>
    <row r="34" spans="1:52" s="25" customFormat="1">
      <c r="A34" s="4"/>
      <c r="B34" s="21">
        <f t="shared" si="2"/>
        <v>22</v>
      </c>
      <c r="C34" s="6" t="s">
        <v>1576</v>
      </c>
      <c r="D34" s="6" t="s">
        <v>1687</v>
      </c>
      <c r="E34" s="8"/>
      <c r="F34" s="7" t="s">
        <v>3278</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milscm_2023_009.sny_202310_base_text_mml_mmllb_body.ward IS '依頼病棟';</v>
      </c>
    </row>
    <row r="35" spans="1:52" s="25" customFormat="1">
      <c r="A35" s="4"/>
      <c r="B35" s="21">
        <f t="shared" si="2"/>
        <v>23</v>
      </c>
      <c r="C35" s="6" t="s">
        <v>1578</v>
      </c>
      <c r="D35" s="6" t="s">
        <v>239</v>
      </c>
      <c r="E35" s="8"/>
      <c r="F35" s="7" t="s">
        <v>3278</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milscm_2023_009.sny_202310_base_text_mml_mmllb_body.ward_code IS '依頼病棟コード';</v>
      </c>
    </row>
    <row r="36" spans="1:52" s="25" customFormat="1">
      <c r="A36" s="4"/>
      <c r="B36" s="21">
        <f t="shared" si="2"/>
        <v>24</v>
      </c>
      <c r="C36" s="6" t="s">
        <v>1580</v>
      </c>
      <c r="D36" s="6" t="s">
        <v>1689</v>
      </c>
      <c r="E36" s="8"/>
      <c r="F36" s="7" t="s">
        <v>3278</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milscm_2023_009.sny_202310_base_text_mml_mmllb_body.ward_code_id IS '依頼病棟コードID';</v>
      </c>
    </row>
    <row r="37" spans="1:52" s="25" customFormat="1">
      <c r="A37" s="4"/>
      <c r="B37" s="21">
        <f t="shared" si="2"/>
        <v>25</v>
      </c>
      <c r="C37" s="6" t="s">
        <v>3880</v>
      </c>
      <c r="D37" s="6" t="s">
        <v>3881</v>
      </c>
      <c r="E37" s="8"/>
      <c r="F37" s="7" t="s">
        <v>3278</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milscm_2023_009.sny_202310_base_text_mml_mmllb_body.client IS '依頼者';</v>
      </c>
    </row>
    <row r="38" spans="1:52" s="25" customFormat="1">
      <c r="A38" s="4"/>
      <c r="B38" s="21">
        <f t="shared" si="2"/>
        <v>26</v>
      </c>
      <c r="C38" s="6" t="s">
        <v>3882</v>
      </c>
      <c r="D38" s="6" t="s">
        <v>3883</v>
      </c>
      <c r="E38" s="8"/>
      <c r="F38" s="7" t="s">
        <v>3278</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milscm_2023_009.sny_202310_base_text_mml_mmllb_body.client_code IS '依頼者コード';</v>
      </c>
    </row>
    <row r="39" spans="1:52" s="25" customFormat="1">
      <c r="A39" s="4"/>
      <c r="B39" s="21">
        <f t="shared" si="2"/>
        <v>27</v>
      </c>
      <c r="C39" s="6" t="s">
        <v>3884</v>
      </c>
      <c r="D39" s="6" t="s">
        <v>3885</v>
      </c>
      <c r="E39" s="8"/>
      <c r="F39" s="7" t="s">
        <v>3278</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milscm_2023_009.sny_202310_base_text_mml_mmllb_body.client_code_id IS '依頼者コードID';</v>
      </c>
    </row>
    <row r="40" spans="1:52" s="25" customFormat="1">
      <c r="A40" s="4"/>
      <c r="B40" s="21">
        <f t="shared" si="2"/>
        <v>28</v>
      </c>
      <c r="C40" s="6" t="s">
        <v>3886</v>
      </c>
      <c r="D40" s="6" t="s">
        <v>3887</v>
      </c>
      <c r="E40" s="8"/>
      <c r="F40" s="7" t="s">
        <v>3278</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milscm_2023_009.sny_202310_base_text_mml_mmllb_body.laboratory_center IS '検査実施施設';</v>
      </c>
    </row>
    <row r="41" spans="1:52" s="25" customFormat="1">
      <c r="A41" s="4"/>
      <c r="B41" s="21">
        <f t="shared" si="2"/>
        <v>29</v>
      </c>
      <c r="C41" s="6" t="s">
        <v>3888</v>
      </c>
      <c r="D41" s="6" t="s">
        <v>3889</v>
      </c>
      <c r="E41" s="8"/>
      <c r="F41" s="7" t="s">
        <v>3278</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milscm_2023_009.sny_202310_base_text_mml_mmllb_body.laboratory_center_code IS '検査実施施設コード';</v>
      </c>
    </row>
    <row r="42" spans="1:52" s="25" customFormat="1" ht="31.5">
      <c r="A42" s="4"/>
      <c r="B42" s="21">
        <f t="shared" si="2"/>
        <v>30</v>
      </c>
      <c r="C42" s="6" t="s">
        <v>3890</v>
      </c>
      <c r="D42" s="6" t="s">
        <v>3891</v>
      </c>
      <c r="E42" s="8"/>
      <c r="F42" s="7" t="s">
        <v>3278</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milscm_2023_009.sny_202310_base_text_mml_mmllb_body.laboratory_center_code_id IS '検査実施施設コードID';</v>
      </c>
    </row>
    <row r="43" spans="1:52" s="25" customFormat="1">
      <c r="A43" s="4"/>
      <c r="B43" s="21">
        <f t="shared" si="2"/>
        <v>31</v>
      </c>
      <c r="C43" s="6" t="s">
        <v>3892</v>
      </c>
      <c r="D43" s="6" t="s">
        <v>3893</v>
      </c>
      <c r="E43" s="8"/>
      <c r="F43" s="7" t="s">
        <v>3278</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milscm_2023_009.sny_202310_base_text_mml_mmllb_body.technician IS '検査実施者';</v>
      </c>
    </row>
    <row r="44" spans="1:52" s="25" customFormat="1">
      <c r="A44" s="4"/>
      <c r="B44" s="21">
        <f t="shared" si="2"/>
        <v>32</v>
      </c>
      <c r="C44" s="6" t="s">
        <v>3894</v>
      </c>
      <c r="D44" s="6" t="s">
        <v>3895</v>
      </c>
      <c r="E44" s="8"/>
      <c r="F44" s="7" t="s">
        <v>3278</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milscm_2023_009.sny_202310_base_text_mml_mmllb_body.technician_code IS '検査実施者コード';</v>
      </c>
    </row>
    <row r="45" spans="1:52" s="25" customFormat="1">
      <c r="A45" s="4"/>
      <c r="B45" s="21">
        <f t="shared" si="2"/>
        <v>33</v>
      </c>
      <c r="C45" s="6" t="s">
        <v>3896</v>
      </c>
      <c r="D45" s="6" t="s">
        <v>3897</v>
      </c>
      <c r="E45" s="8"/>
      <c r="F45" s="7" t="s">
        <v>3278</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milscm_2023_009.sny_202310_base_text_mml_mmllb_body.technician_code_id IS '検査実施者コードID';</v>
      </c>
    </row>
    <row r="46" spans="1:52" s="25" customFormat="1" ht="19.5" thickBot="1">
      <c r="A46" s="4"/>
      <c r="B46" s="27">
        <f>ROW()-12</f>
        <v>34</v>
      </c>
      <c r="C46" s="57" t="s">
        <v>1582</v>
      </c>
      <c r="D46" s="57" t="s">
        <v>3898</v>
      </c>
      <c r="E46" s="56"/>
      <c r="F46" s="56" t="s">
        <v>3278</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ENT_31_A6-19</v>
      </c>
      <c r="E6" s="240"/>
      <c r="F6" s="240"/>
      <c r="G6" s="240"/>
      <c r="H6" s="240"/>
      <c r="I6" s="240"/>
      <c r="J6" s="241"/>
    </row>
    <row r="7" spans="1:45">
      <c r="B7" s="229" t="s">
        <v>115</v>
      </c>
      <c r="C7" s="230"/>
      <c r="D7" s="231" t="s">
        <v>4013</v>
      </c>
      <c r="E7" s="232"/>
      <c r="F7" s="232"/>
      <c r="G7" s="232"/>
      <c r="H7" s="232"/>
      <c r="I7" s="232"/>
      <c r="J7" s="233"/>
    </row>
    <row r="8" spans="1:45">
      <c r="B8" s="229" t="s">
        <v>116</v>
      </c>
      <c r="C8" s="230"/>
      <c r="D8" s="231" t="str">
        <f>エンティティ一覧!AE2&amp;"_"&amp;D5&amp;"_text_mml_mmllb_memo"</f>
        <v>sny_202310_base_text_mml_mmllb_memo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milscm_2023_009.sny_202310_base_text_mml_mmllb_memo;</v>
      </c>
      <c r="O10" s="76"/>
      <c r="P10" s="76"/>
      <c r="Q10" s="76"/>
      <c r="R10" s="76"/>
      <c r="S10" s="76"/>
      <c r="T10" s="76"/>
      <c r="AJ10" s="76" t="str">
        <f>"ALTER TABLE ONLY "&amp;エンティティ一覧!$O$2&amp;"."&amp;D$8</f>
        <v>ALTER TABLE ONLY milscm_2023_009.sny_202310_base_text_mml_mmllb_memo</v>
      </c>
      <c r="AS10" s="76" t="str">
        <f>"ALTER TABLE "&amp;エンティティ一覧!$O$2&amp;"."&amp;D$8&amp;" OWNER TO pgmisgrp1;"</f>
        <v>ALTER TABLE milscm_2023_009.sny_202310_base_text_mml_mmllb_memo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milscm_2023_009.sny_202310_base_text_mml_mmllb_memo</v>
      </c>
      <c r="O11" s="76"/>
      <c r="P11" s="76"/>
      <c r="Q11" s="76"/>
      <c r="R11" s="76"/>
      <c r="S11" s="76"/>
      <c r="T11" s="76"/>
      <c r="AJ11" s="76" t="str">
        <f>"ADD CONSTRAINT "&amp;D$8&amp;"_pkey PRIMARY KEY"</f>
        <v>ADD CONSTRAINT sny_202310_base_text_mml_mmllb_memo_pkey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milscm_2023_009.sny_202310_base_text_mml_mmllb_memo IS 'ベース_MML_検歴情報モジュール_報告コメント';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milscm_2023_009.sny_202310_base_text_mml_mmllb_memo.zip_no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milscm_2023_009.sny_202310_base_text_mml_mmllb_memo.master_id IS '患者ID';</v>
      </c>
    </row>
    <row r="18" spans="1:52" s="25" customFormat="1">
      <c r="A18" s="4"/>
      <c r="B18" s="21">
        <f t="shared" si="2"/>
        <v>6</v>
      </c>
      <c r="C18" s="6" t="s">
        <v>3899</v>
      </c>
      <c r="D18" s="6" t="s">
        <v>3900</v>
      </c>
      <c r="E18" s="8" t="s">
        <v>127</v>
      </c>
      <c r="F18" s="7" t="s">
        <v>3276</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milscm_2023_009.sny_202310_base_text_mml_mmllb_memo.memo_no IS 'メモNo';</v>
      </c>
    </row>
    <row r="19" spans="1:52" s="25" customFormat="1">
      <c r="A19" s="4"/>
      <c r="B19" s="21">
        <f t="shared" si="2"/>
        <v>7</v>
      </c>
      <c r="C19" s="6" t="s">
        <v>3901</v>
      </c>
      <c r="D19" s="6" t="s">
        <v>3898</v>
      </c>
      <c r="E19" s="8"/>
      <c r="F19" s="7" t="s">
        <v>3278</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milscm_2023_009.sny_202310_base_text_mml_mmllb_memo.rep_memo IS '報告コメント';</v>
      </c>
    </row>
    <row r="20" spans="1:52" s="25" customFormat="1">
      <c r="A20" s="4"/>
      <c r="B20" s="21">
        <f t="shared" si="2"/>
        <v>8</v>
      </c>
      <c r="C20" s="6" t="s">
        <v>3902</v>
      </c>
      <c r="D20" s="6" t="s">
        <v>3903</v>
      </c>
      <c r="E20" s="8"/>
      <c r="F20" s="7" t="s">
        <v>3278</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milscm_2023_009.sny_202310_base_text_mml_mmllb_memo.rep_code_name IS '報告コメントコード名';</v>
      </c>
    </row>
    <row r="21" spans="1:52" s="25" customFormat="1">
      <c r="A21" s="4"/>
      <c r="B21" s="21">
        <f t="shared" si="2"/>
        <v>9</v>
      </c>
      <c r="C21" s="6" t="s">
        <v>3904</v>
      </c>
      <c r="D21" s="6" t="s">
        <v>3059</v>
      </c>
      <c r="E21" s="8"/>
      <c r="F21" s="7" t="s">
        <v>3278</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milscm_2023_009.sny_202310_base_text_mml_mmllb_memo.rep_code IS '報告コメントコード';</v>
      </c>
    </row>
    <row r="22" spans="1:52" s="25" customFormat="1" ht="19.5" thickBot="1">
      <c r="A22" s="4"/>
      <c r="B22" s="27">
        <f>ROW()-12</f>
        <v>10</v>
      </c>
      <c r="C22" s="57" t="s">
        <v>3905</v>
      </c>
      <c r="D22" s="57" t="s">
        <v>3906</v>
      </c>
      <c r="E22" s="56"/>
      <c r="F22" s="56" t="s">
        <v>3278</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ENT_31_A6-20</v>
      </c>
      <c r="E6" s="240"/>
      <c r="F6" s="240"/>
      <c r="G6" s="240"/>
      <c r="H6" s="240"/>
      <c r="I6" s="240"/>
      <c r="J6" s="241"/>
    </row>
    <row r="7" spans="1:45">
      <c r="B7" s="229" t="s">
        <v>115</v>
      </c>
      <c r="C7" s="230"/>
      <c r="D7" s="231" t="s">
        <v>4014</v>
      </c>
      <c r="E7" s="232"/>
      <c r="F7" s="232"/>
      <c r="G7" s="232"/>
      <c r="H7" s="232"/>
      <c r="I7" s="232"/>
      <c r="J7" s="233"/>
    </row>
    <row r="8" spans="1:45">
      <c r="B8" s="229" t="s">
        <v>116</v>
      </c>
      <c r="C8" s="230"/>
      <c r="D8" s="231" t="str">
        <f>エンティティ一覧!AE2&amp;"_"&amp;D5&amp;"_text_mml_mmllb_labo_test"</f>
        <v>sny_202310_base_text_mml_mmllb_labo_test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milscm_2023_009.sny_202310_base_text_mml_mmllb_labo_test;</v>
      </c>
      <c r="O10" s="76"/>
      <c r="P10" s="76"/>
      <c r="Q10" s="76"/>
      <c r="R10" s="76"/>
      <c r="S10" s="76"/>
      <c r="T10" s="76"/>
      <c r="AJ10" s="76" t="str">
        <f>"ALTER TABLE ONLY "&amp;エンティティ一覧!$O$2&amp;"."&amp;D$8</f>
        <v>ALTER TABLE ONLY milscm_2023_009.sny_202310_base_text_mml_mmllb_labo_test</v>
      </c>
      <c r="AS10" s="76" t="str">
        <f>"ALTER TABLE "&amp;エンティティ一覧!$O$2&amp;"."&amp;D$8&amp;" OWNER TO pgmisgrp1;"</f>
        <v>ALTER TABLE milscm_2023_009.sny_202310_base_text_mml_mmllb_labo_test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milscm_2023_009.sny_202310_base_text_mml_mmllb_labo_test</v>
      </c>
      <c r="O11" s="76"/>
      <c r="P11" s="76"/>
      <c r="Q11" s="76"/>
      <c r="R11" s="76"/>
      <c r="S11" s="76"/>
      <c r="T11" s="76"/>
      <c r="AJ11" s="76" t="str">
        <f>"ADD CONSTRAINT "&amp;D$8&amp;"_pkey PRIMARY KEY"</f>
        <v>ADD CONSTRAINT sny_202310_base_text_mml_mmllb_labo_test_pkey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milscm_2023_009.sny_202310_base_text_mml_mmllb_labo_test IS 'ベース_MML_検歴情報モジュール_検体検査結果情報';</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milscm_2023_009.sny_202310_base_text_mml_mmllb_labo_test.zip_no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milscm_2023_009.sny_202310_base_text_mml_mmllb_labo_test.file_no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milscm_2023_009.sny_202310_base_text_mml_mmllb_labo_test.body_no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milscm_2023_009.sny_202310_base_text_mml_mmllb_labo_test.facility_id_mml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milscm_2023_009.sny_202310_base_text_mml_mmllb_labo_test.master_id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milscm_2023_009.sny_202310_base_text_mml_mmllb_labo_test.labo_test_no IS '検体検査結果情報No';</v>
      </c>
    </row>
    <row r="19" spans="1:52" s="25" customFormat="1">
      <c r="A19" s="4"/>
      <c r="B19" s="21">
        <f t="shared" si="2"/>
        <v>7</v>
      </c>
      <c r="C19" s="6" t="s">
        <v>1608</v>
      </c>
      <c r="D19" s="6" t="s">
        <v>3987</v>
      </c>
      <c r="E19" s="8"/>
      <c r="F19" s="7" t="s">
        <v>3278</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milscm_2023_009.sny_202310_base_text_mml_mmllb_labo_test.specimen_name IS '検体材料';</v>
      </c>
    </row>
    <row r="20" spans="1:52" s="25" customFormat="1">
      <c r="A20" s="4"/>
      <c r="B20" s="21">
        <f t="shared" si="2"/>
        <v>8</v>
      </c>
      <c r="C20" s="6" t="s">
        <v>1610</v>
      </c>
      <c r="D20" s="6" t="s">
        <v>1611</v>
      </c>
      <c r="E20" s="8"/>
      <c r="F20" s="7" t="s">
        <v>3278</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milscm_2023_009.sny_202310_base_text_mml_mmllb_labo_test.sp_code IS '検体材料コード';</v>
      </c>
    </row>
    <row r="21" spans="1:52" s="25" customFormat="1">
      <c r="A21" s="4"/>
      <c r="B21" s="21">
        <f t="shared" si="2"/>
        <v>9</v>
      </c>
      <c r="C21" s="6" t="s">
        <v>3909</v>
      </c>
      <c r="D21" s="6" t="s">
        <v>1613</v>
      </c>
      <c r="E21" s="8"/>
      <c r="F21" s="7" t="s">
        <v>3278</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milscm_2023_009.sny_202310_base_text_mml_mmllb_labo_test.sp_code_id IS '検体材料コードID';</v>
      </c>
    </row>
    <row r="22" spans="1:52" s="25" customFormat="1" ht="19.5" thickBot="1">
      <c r="A22" s="4"/>
      <c r="B22" s="27">
        <f>ROW()-12</f>
        <v>10</v>
      </c>
      <c r="C22" s="57" t="s">
        <v>1614</v>
      </c>
      <c r="D22" s="57" t="s">
        <v>3910</v>
      </c>
      <c r="E22" s="56"/>
      <c r="F22" s="56" t="s">
        <v>3278</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ENT_31_A6-21</v>
      </c>
      <c r="E6" s="240"/>
      <c r="F6" s="240"/>
      <c r="G6" s="240"/>
      <c r="H6" s="240"/>
      <c r="I6" s="240"/>
      <c r="J6" s="241"/>
    </row>
    <row r="7" spans="1:45">
      <c r="B7" s="229" t="s">
        <v>115</v>
      </c>
      <c r="C7" s="230"/>
      <c r="D7" s="231" t="s">
        <v>4015</v>
      </c>
      <c r="E7" s="232"/>
      <c r="F7" s="232"/>
      <c r="G7" s="232"/>
      <c r="H7" s="232"/>
      <c r="I7" s="232"/>
      <c r="J7" s="233"/>
    </row>
    <row r="8" spans="1:45">
      <c r="B8" s="229" t="s">
        <v>116</v>
      </c>
      <c r="C8" s="230"/>
      <c r="D8" s="231" t="str">
        <f>エンティティ一覧!AE2&amp;"_"&amp;D5&amp;"_text_mml_mmllb_spc_memo"</f>
        <v>sny_202310_base_text_mml_mmllb_spc_memo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milscm_2023_009.sny_202310_base_text_mml_mmllb_spc_memo;</v>
      </c>
      <c r="O10" s="76"/>
      <c r="P10" s="76"/>
      <c r="Q10" s="76"/>
      <c r="R10" s="76"/>
      <c r="S10" s="76"/>
      <c r="T10" s="76"/>
      <c r="AJ10" s="76" t="str">
        <f>"ALTER TABLE ONLY "&amp;エンティティ一覧!$O$2&amp;"."&amp;D$8</f>
        <v>ALTER TABLE ONLY milscm_2023_009.sny_202310_base_text_mml_mmllb_spc_memo</v>
      </c>
      <c r="AS10" s="76" t="str">
        <f>"ALTER TABLE "&amp;エンティティ一覧!$O$2&amp;"."&amp;D$8&amp;" OWNER TO pgmisgrp1;"</f>
        <v>ALTER TABLE milscm_2023_009.sny_202310_base_text_mml_mmllb_spc_memo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milscm_2023_009.sny_202310_base_text_mml_mmllb_spc_memo</v>
      </c>
      <c r="O11" s="76"/>
      <c r="P11" s="76"/>
      <c r="Q11" s="76"/>
      <c r="R11" s="76"/>
      <c r="S11" s="76"/>
      <c r="T11" s="76"/>
      <c r="AJ11" s="76" t="str">
        <f>"ADD CONSTRAINT "&amp;D$8&amp;"_pkey PRIMARY KEY"</f>
        <v>ADD CONSTRAINT sny_202310_base_text_mml_mmllb_spc_memo_pkey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milscm_2023_009.sny_202310_base_text_mml_mmllb_spc_memo IS 'ベース_MML_検歴情報モジュール_検体コメント';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milscm_2023_009.sny_202310_base_text_mml_mmllb_spc_memo.zip_no IS 'ZipファイルNo';</v>
      </c>
    </row>
    <row r="14" spans="1:45" s="25" customFormat="1">
      <c r="A14" s="4"/>
      <c r="B14" s="21">
        <f t="shared" ref="B14:B22" si="2">ROW()-12</f>
        <v>2</v>
      </c>
      <c r="C14" s="6" t="s">
        <v>2785</v>
      </c>
      <c r="D14" s="6" t="s">
        <v>2786</v>
      </c>
      <c r="E14" s="8" t="s">
        <v>127</v>
      </c>
      <c r="F14" s="7" t="s">
        <v>3276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milscm_2023_009.sny_202310_base_text_mml_mmllb_spc_memo.file_no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milscm_2023_009.sny_202310_base_text_mml_mmllb_spc_memo.body_no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milscm_2023_009.sny_202310_base_text_mml_mmllb_spc_memo.facility_id_mml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milscm_2023_009.sny_202310_base_text_mml_mmllb_spc_memo.master_id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milscm_2023_009.sny_202310_base_text_mml_mmllb_spc_memo.labo_test_no IS '検体検査結果情報No';</v>
      </c>
    </row>
    <row r="19" spans="1:52" s="25" customFormat="1">
      <c r="A19" s="4"/>
      <c r="B19" s="21">
        <f t="shared" si="2"/>
        <v>7</v>
      </c>
      <c r="C19" s="6" t="s">
        <v>3911</v>
      </c>
      <c r="D19" s="6" t="s">
        <v>3912</v>
      </c>
      <c r="E19" s="8" t="s">
        <v>127</v>
      </c>
      <c r="F19" s="7" t="s">
        <v>3276</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milscm_2023_009.sny_202310_base_text_mml_mmllb_spc_memo.spc_memo_no IS '検体コメントNo';</v>
      </c>
    </row>
    <row r="20" spans="1:52" s="25" customFormat="1">
      <c r="A20" s="4"/>
      <c r="B20" s="21">
        <f t="shared" si="2"/>
        <v>8</v>
      </c>
      <c r="C20" s="6" t="s">
        <v>3913</v>
      </c>
      <c r="D20" s="6" t="s">
        <v>3914</v>
      </c>
      <c r="E20" s="8"/>
      <c r="F20" s="7" t="s">
        <v>3278</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milscm_2023_009.sny_202310_base_text_mml_mmllb_spc_memo.spc_memo IS '検体コメント';</v>
      </c>
    </row>
    <row r="21" spans="1:52" s="25" customFormat="1">
      <c r="A21" s="4"/>
      <c r="B21" s="21">
        <f t="shared" si="2"/>
        <v>9</v>
      </c>
      <c r="C21" s="6" t="s">
        <v>3915</v>
      </c>
      <c r="D21" s="6" t="s">
        <v>3916</v>
      </c>
      <c r="E21" s="8"/>
      <c r="F21" s="7" t="s">
        <v>3278</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milscm_2023_009.sny_202310_base_text_mml_mmllb_spc_memo.sm_code_name IS '検体コメントコード名';</v>
      </c>
    </row>
    <row r="22" spans="1:52" s="25" customFormat="1">
      <c r="A22" s="4"/>
      <c r="B22" s="21">
        <f t="shared" si="2"/>
        <v>10</v>
      </c>
      <c r="C22" s="6" t="s">
        <v>3917</v>
      </c>
      <c r="D22" s="6" t="s">
        <v>3918</v>
      </c>
      <c r="E22" s="8"/>
      <c r="F22" s="7" t="s">
        <v>3278</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milscm_2023_009.sny_202310_base_text_mml_mmllb_spc_memo.sm_code IS '検体コメントコード';</v>
      </c>
    </row>
    <row r="23" spans="1:52" s="25" customFormat="1" ht="19.5" thickBot="1">
      <c r="A23" s="4"/>
      <c r="B23" s="27">
        <f>ROW()-12</f>
        <v>11</v>
      </c>
      <c r="C23" s="57" t="s">
        <v>3919</v>
      </c>
      <c r="D23" s="57" t="s">
        <v>3920</v>
      </c>
      <c r="E23" s="56"/>
      <c r="F23" s="56" t="s">
        <v>3278</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ENT_31_A6-22</v>
      </c>
      <c r="E6" s="240"/>
      <c r="F6" s="240"/>
      <c r="G6" s="240"/>
      <c r="H6" s="240"/>
      <c r="I6" s="240"/>
      <c r="J6" s="241"/>
    </row>
    <row r="7" spans="1:45">
      <c r="B7" s="229" t="s">
        <v>115</v>
      </c>
      <c r="C7" s="230"/>
      <c r="D7" s="231" t="s">
        <v>4016</v>
      </c>
      <c r="E7" s="232"/>
      <c r="F7" s="232"/>
      <c r="G7" s="232"/>
      <c r="H7" s="232"/>
      <c r="I7" s="232"/>
      <c r="J7" s="233"/>
    </row>
    <row r="8" spans="1:45">
      <c r="B8" s="229" t="s">
        <v>116</v>
      </c>
      <c r="C8" s="230"/>
      <c r="D8" s="231" t="str">
        <f>エンティティ一覧!AE2&amp;"_"&amp;D5&amp;"_text_mml_mmllb_item"</f>
        <v>sny_202310_base_text_mml_mmllb_item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milscm_2023_009.sny_202310_base_text_mml_mmllb_item;</v>
      </c>
      <c r="O10" s="76"/>
      <c r="P10" s="76"/>
      <c r="Q10" s="76"/>
      <c r="R10" s="76"/>
      <c r="S10" s="76"/>
      <c r="T10" s="76"/>
      <c r="AJ10" s="76" t="str">
        <f>"ALTER TABLE ONLY "&amp;エンティティ一覧!$O$2&amp;"."&amp;D$8</f>
        <v>ALTER TABLE ONLY milscm_2023_009.sny_202310_base_text_mml_mmllb_item</v>
      </c>
      <c r="AS10" s="76" t="str">
        <f>"ALTER TABLE "&amp;エンティティ一覧!$O$2&amp;"."&amp;D$8&amp;" OWNER TO pgmisgrp1;"</f>
        <v>ALTER TABLE milscm_2023_009.sny_202310_base_text_mml_mmllb_item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milscm_2023_009.sny_202310_base_text_mml_mmllb_item</v>
      </c>
      <c r="O11" s="76"/>
      <c r="P11" s="76"/>
      <c r="Q11" s="76"/>
      <c r="R11" s="76"/>
      <c r="S11" s="76"/>
      <c r="T11" s="76"/>
      <c r="AJ11" s="76" t="str">
        <f>"ADD CONSTRAINT "&amp;D$8&amp;"_pkey PRIMARY KEY"</f>
        <v>ADD CONSTRAINT sny_202310_base_text_mml_mmllb_item_pkey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 IS 'ベース_MML_検歴情報モジュール_検査項目';</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milscm_2023_009.sny_202310_base_text_mml_mmllb_item.zip_no IS 'ZipファイルNo';</v>
      </c>
    </row>
    <row r="14" spans="1:45" s="25" customFormat="1">
      <c r="A14" s="4"/>
      <c r="B14" s="21">
        <f t="shared" ref="B14:B40" si="2">ROW()-12</f>
        <v>2</v>
      </c>
      <c r="C14" s="6" t="s">
        <v>2785</v>
      </c>
      <c r="D14" s="6" t="s">
        <v>2786</v>
      </c>
      <c r="E14" s="8" t="s">
        <v>127</v>
      </c>
      <c r="F14" s="7" t="s">
        <v>3276</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milscm_2023_009.sny_202310_base_text_mml_mmllb_item.facility_id_mml IS '施設ID（MML）';</v>
      </c>
    </row>
    <row r="17" spans="1:45"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milscm_2023_009.sny_202310_base_text_mml_mmllb_item.master_id IS '患者ID';</v>
      </c>
    </row>
    <row r="18" spans="1:45"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milscm_2023_009.sny_202310_base_text_mml_mmllb_item.labo_test_no IS '検体検査結果情報No';</v>
      </c>
    </row>
    <row r="19" spans="1:45"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milscm_2023_009.sny_202310_base_text_mml_mmllb_item.item_no IS '項目No';</v>
      </c>
    </row>
    <row r="20" spans="1:45" s="25" customFormat="1">
      <c r="A20" s="4"/>
      <c r="B20" s="21">
        <f t="shared" si="2"/>
        <v>8</v>
      </c>
      <c r="C20" s="6" t="s">
        <v>3834</v>
      </c>
      <c r="D20" s="6" t="s">
        <v>1626</v>
      </c>
      <c r="E20" s="8"/>
      <c r="F20" s="7" t="s">
        <v>3278</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milscm_2023_009.sny_202310_base_text_mml_mmllb_item.item_name IS '検査名';</v>
      </c>
    </row>
    <row r="21" spans="1:45" s="25" customFormat="1">
      <c r="A21" s="4"/>
      <c r="B21" s="21">
        <f t="shared" si="2"/>
        <v>9</v>
      </c>
      <c r="C21" s="6" t="s">
        <v>3835</v>
      </c>
      <c r="D21" s="6" t="s">
        <v>3836</v>
      </c>
      <c r="E21" s="8"/>
      <c r="F21" s="7" t="s">
        <v>3278</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milscm_2023_009.sny_202310_base_text_mml_mmllb_item.item_code IS '検査名_施設固有コード';</v>
      </c>
    </row>
    <row r="22" spans="1:45" s="25" customFormat="1">
      <c r="A22" s="4"/>
      <c r="B22" s="21">
        <f t="shared" si="2"/>
        <v>10</v>
      </c>
      <c r="C22" s="6" t="s">
        <v>3925</v>
      </c>
      <c r="D22" s="6" t="s">
        <v>3926</v>
      </c>
      <c r="E22" s="8"/>
      <c r="F22" s="7" t="s">
        <v>3278</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milscm_2023_009.sny_202310_base_text_mml_mmllb_item.item_code_id IS '検査名_施設固有コードID';</v>
      </c>
    </row>
    <row r="23" spans="1:45" s="25" customFormat="1">
      <c r="A23" s="4"/>
      <c r="B23" s="21">
        <f t="shared" si="2"/>
        <v>11</v>
      </c>
      <c r="C23" s="6" t="s">
        <v>3927</v>
      </c>
      <c r="D23" s="6" t="s">
        <v>3928</v>
      </c>
      <c r="E23" s="8"/>
      <c r="F23" s="7" t="s">
        <v>3278</v>
      </c>
      <c r="G23" s="7" t="str">
        <f t="shared" si="3"/>
        <v>text</v>
      </c>
      <c r="H23" s="26"/>
      <c r="I23" s="10"/>
      <c r="J23" s="11" t="s">
        <v>1631</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milscm_2023_009.sny_202310_base_text_mml_mmllb_item.a_code IS '検査名_分析物コード';</v>
      </c>
    </row>
    <row r="24" spans="1:45" s="25" customFormat="1">
      <c r="A24" s="4"/>
      <c r="B24" s="21">
        <f t="shared" si="2"/>
        <v>12</v>
      </c>
      <c r="C24" s="6" t="s">
        <v>3929</v>
      </c>
      <c r="D24" s="6" t="s">
        <v>3930</v>
      </c>
      <c r="E24" s="8"/>
      <c r="F24" s="7" t="s">
        <v>3278</v>
      </c>
      <c r="G24" s="7" t="str">
        <f t="shared" si="3"/>
        <v>text</v>
      </c>
      <c r="H24" s="26"/>
      <c r="I24" s="10"/>
      <c r="J24" s="11" t="s">
        <v>1633</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milscm_2023_009.sny_202310_base_text_mml_mmllb_item.i_code IS '検査名_識別コード';</v>
      </c>
    </row>
    <row r="25" spans="1:45" s="25" customFormat="1">
      <c r="A25" s="4"/>
      <c r="B25" s="21">
        <f t="shared" si="2"/>
        <v>13</v>
      </c>
      <c r="C25" s="6" t="s">
        <v>3931</v>
      </c>
      <c r="D25" s="6" t="s">
        <v>3932</v>
      </c>
      <c r="E25" s="8"/>
      <c r="F25" s="7" t="s">
        <v>3278</v>
      </c>
      <c r="G25" s="7" t="str">
        <f t="shared" si="3"/>
        <v>text</v>
      </c>
      <c r="H25" s="26"/>
      <c r="I25" s="10"/>
      <c r="J25" s="11" t="s">
        <v>1635</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milscm_2023_009.sny_202310_base_text_mml_mmllb_item.s_code IS '検査名_材料コード';</v>
      </c>
    </row>
    <row r="26" spans="1:45" s="25" customFormat="1">
      <c r="A26" s="4"/>
      <c r="B26" s="21">
        <f t="shared" si="2"/>
        <v>14</v>
      </c>
      <c r="C26" s="6" t="s">
        <v>3933</v>
      </c>
      <c r="D26" s="6" t="s">
        <v>3934</v>
      </c>
      <c r="E26" s="8"/>
      <c r="F26" s="7" t="s">
        <v>3278</v>
      </c>
      <c r="G26" s="7" t="str">
        <f t="shared" si="3"/>
        <v>text</v>
      </c>
      <c r="H26" s="26"/>
      <c r="I26" s="10"/>
      <c r="J26" s="11" t="s">
        <v>1637</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milscm_2023_009.sny_202310_base_text_mml_mmllb_item.m_code IS '検査名_測定法コード';</v>
      </c>
    </row>
    <row r="27" spans="1:45" s="25" customFormat="1">
      <c r="A27" s="4"/>
      <c r="B27" s="21">
        <f t="shared" si="2"/>
        <v>15</v>
      </c>
      <c r="C27" s="6" t="s">
        <v>3935</v>
      </c>
      <c r="D27" s="6" t="s">
        <v>3936</v>
      </c>
      <c r="E27" s="8"/>
      <c r="F27" s="7" t="s">
        <v>3278</v>
      </c>
      <c r="G27" s="7" t="str">
        <f t="shared" si="3"/>
        <v>text</v>
      </c>
      <c r="H27" s="26"/>
      <c r="I27" s="10"/>
      <c r="J27" s="11" t="s">
        <v>1639</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milscm_2023_009.sny_202310_base_text_mml_mmllb_item.r_code IS '検査名_結果識別コード';</v>
      </c>
    </row>
    <row r="28" spans="1:45" s="25" customFormat="1">
      <c r="A28" s="4"/>
      <c r="B28" s="21">
        <f t="shared" si="2"/>
        <v>16</v>
      </c>
      <c r="C28" s="6" t="s">
        <v>3937</v>
      </c>
      <c r="D28" s="6" t="s">
        <v>1642</v>
      </c>
      <c r="E28" s="8"/>
      <c r="F28" s="7" t="s">
        <v>3278</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milscm_2023_009.sny_202310_base_text_mml_mmllb_item.value IS '検査値（文字列）';</v>
      </c>
    </row>
    <row r="29" spans="1:45" s="25" customFormat="1">
      <c r="A29" s="4"/>
      <c r="B29" s="21">
        <f t="shared" si="2"/>
        <v>17</v>
      </c>
      <c r="C29" s="6" t="s">
        <v>3938</v>
      </c>
      <c r="D29" s="6" t="s">
        <v>3939</v>
      </c>
      <c r="E29" s="8"/>
      <c r="F29" s="7" t="s">
        <v>3278</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milscm_2023_009.sny_202310_base_text_mml_mmllb_item.value_up IS '検査値（文字列）_上限値';</v>
      </c>
    </row>
    <row r="30" spans="1:45" s="25" customFormat="1">
      <c r="A30" s="4"/>
      <c r="B30" s="21">
        <f t="shared" si="2"/>
        <v>18</v>
      </c>
      <c r="C30" s="6" t="s">
        <v>3940</v>
      </c>
      <c r="D30" s="6" t="s">
        <v>3941</v>
      </c>
      <c r="E30" s="8"/>
      <c r="F30" s="7" t="s">
        <v>3278</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milscm_2023_009.sny_202310_base_text_mml_mmllb_item.value_low IS '検査値（文字列）_下限値';</v>
      </c>
    </row>
    <row r="31" spans="1:45" s="25" customFormat="1">
      <c r="A31" s="4"/>
      <c r="B31" s="21">
        <f t="shared" si="2"/>
        <v>19</v>
      </c>
      <c r="C31" s="6" t="s">
        <v>3942</v>
      </c>
      <c r="D31" s="6" t="s">
        <v>3943</v>
      </c>
      <c r="E31" s="8"/>
      <c r="F31" s="7" t="s">
        <v>3278</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milscm_2023_009.sny_202310_base_text_mml_mmllb_item.value_normal IS '検査値（文字列）_基準値';</v>
      </c>
    </row>
    <row r="32" spans="1:45" s="25" customFormat="1" ht="75">
      <c r="A32" s="4"/>
      <c r="B32" s="21">
        <f t="shared" si="2"/>
        <v>20</v>
      </c>
      <c r="C32" s="6" t="s">
        <v>3944</v>
      </c>
      <c r="D32" s="6" t="s">
        <v>3945</v>
      </c>
      <c r="E32" s="8"/>
      <c r="F32" s="7" t="s">
        <v>3278</v>
      </c>
      <c r="G32" s="7" t="str">
        <f t="shared" si="3"/>
        <v>text</v>
      </c>
      <c r="H32" s="26"/>
      <c r="I32" s="10"/>
      <c r="J32" s="11" t="s">
        <v>3958</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milscm_2023_009.sny_202310_base_text_mml_mmllb_item.value_out IS '検査値（文字列）_異常値フラグ';</v>
      </c>
    </row>
    <row r="33" spans="1:52" s="25" customFormat="1">
      <c r="A33" s="4"/>
      <c r="B33" s="21">
        <f t="shared" si="2"/>
        <v>21</v>
      </c>
      <c r="C33" s="6" t="s">
        <v>3946</v>
      </c>
      <c r="D33" s="6" t="s">
        <v>1644</v>
      </c>
      <c r="E33" s="8"/>
      <c r="F33" s="7" t="s">
        <v>3278</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milscm_2023_009.sny_202310_base_text_mml_mmllb_item.num_value IS '検査値（数値）';</v>
      </c>
    </row>
    <row r="34" spans="1:52" s="25" customFormat="1">
      <c r="A34" s="4"/>
      <c r="B34" s="21">
        <f t="shared" si="2"/>
        <v>22</v>
      </c>
      <c r="C34" s="6" t="s">
        <v>3947</v>
      </c>
      <c r="D34" s="6" t="s">
        <v>3948</v>
      </c>
      <c r="E34" s="8"/>
      <c r="F34" s="7" t="s">
        <v>3278</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milscm_2023_009.sny_202310_base_text_mml_mmllb_item.num_value_up IS '検査値（数値）_上限値';</v>
      </c>
    </row>
    <row r="35" spans="1:52" s="25" customFormat="1">
      <c r="A35" s="4"/>
      <c r="B35" s="21">
        <f t="shared" si="2"/>
        <v>23</v>
      </c>
      <c r="C35" s="6" t="s">
        <v>3949</v>
      </c>
      <c r="D35" s="6" t="s">
        <v>3950</v>
      </c>
      <c r="E35" s="8"/>
      <c r="F35" s="7" t="s">
        <v>3278</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milscm_2023_009.sny_202310_base_text_mml_mmllb_item.num_value_low IS '検査値（数値）_下限値';</v>
      </c>
    </row>
    <row r="36" spans="1:52" s="25" customFormat="1">
      <c r="A36" s="4"/>
      <c r="B36" s="21">
        <f t="shared" si="2"/>
        <v>24</v>
      </c>
      <c r="C36" s="6" t="s">
        <v>3951</v>
      </c>
      <c r="D36" s="6" t="s">
        <v>3952</v>
      </c>
      <c r="E36" s="8"/>
      <c r="F36" s="7" t="s">
        <v>3278</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milscm_2023_009.sny_202310_base_text_mml_mmllb_item.num_value_normal IS '検査値（数値）_基準値';</v>
      </c>
    </row>
    <row r="37" spans="1:52" s="25" customFormat="1" ht="75">
      <c r="A37" s="4"/>
      <c r="B37" s="21">
        <f t="shared" si="2"/>
        <v>25</v>
      </c>
      <c r="C37" s="6" t="s">
        <v>3953</v>
      </c>
      <c r="D37" s="6" t="s">
        <v>3954</v>
      </c>
      <c r="E37" s="8"/>
      <c r="F37" s="7" t="s">
        <v>3278</v>
      </c>
      <c r="G37" s="7" t="str">
        <f t="shared" si="3"/>
        <v>text</v>
      </c>
      <c r="H37" s="26"/>
      <c r="I37" s="10"/>
      <c r="J37" s="11" t="s">
        <v>3958</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milscm_2023_009.sny_202310_base_text_mml_mmllb_item.num_value_out IS '検査値（数値）_異常値フラグ';</v>
      </c>
    </row>
    <row r="38" spans="1:52" s="25" customFormat="1">
      <c r="A38" s="4"/>
      <c r="B38" s="21">
        <f t="shared" si="2"/>
        <v>26</v>
      </c>
      <c r="C38" s="6" t="s">
        <v>1653</v>
      </c>
      <c r="D38" s="6" t="s">
        <v>276</v>
      </c>
      <c r="E38" s="8"/>
      <c r="F38" s="7" t="s">
        <v>3278</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milscm_2023_009.sny_202310_base_text_mml_mmllb_item.unit IS '単位';</v>
      </c>
    </row>
    <row r="39" spans="1:52" s="25" customFormat="1">
      <c r="A39" s="4"/>
      <c r="B39" s="21">
        <f t="shared" si="2"/>
        <v>27</v>
      </c>
      <c r="C39" s="6" t="s">
        <v>1654</v>
      </c>
      <c r="D39" s="6" t="s">
        <v>3955</v>
      </c>
      <c r="E39" s="8"/>
      <c r="F39" s="7" t="s">
        <v>3278</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milscm_2023_009.sny_202310_base_text_mml_mmllb_item.u_code IS '単位コード';</v>
      </c>
    </row>
    <row r="40" spans="1:52" s="25" customFormat="1">
      <c r="A40" s="4"/>
      <c r="B40" s="21">
        <f t="shared" si="2"/>
        <v>28</v>
      </c>
      <c r="C40" s="6" t="s">
        <v>1656</v>
      </c>
      <c r="D40" s="6" t="s">
        <v>3956</v>
      </c>
      <c r="E40" s="8"/>
      <c r="F40" s="7" t="s">
        <v>3278</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milscm_2023_009.sny_202310_base_text_mml_mmllb_item.u_code_id IS '単位コードID';</v>
      </c>
    </row>
    <row r="41" spans="1:52" s="25" customFormat="1" ht="19.5" thickBot="1">
      <c r="A41" s="4"/>
      <c r="B41" s="27">
        <f>ROW()-12</f>
        <v>29</v>
      </c>
      <c r="C41" s="57" t="s">
        <v>1658</v>
      </c>
      <c r="D41" s="57" t="s">
        <v>3957</v>
      </c>
      <c r="E41" s="56"/>
      <c r="F41" s="56" t="s">
        <v>3278</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ENT_31_A6-23</v>
      </c>
      <c r="E6" s="240"/>
      <c r="F6" s="240"/>
      <c r="G6" s="240"/>
      <c r="H6" s="240"/>
      <c r="I6" s="240"/>
      <c r="J6" s="241"/>
    </row>
    <row r="7" spans="1:45">
      <c r="B7" s="229" t="s">
        <v>115</v>
      </c>
      <c r="C7" s="230"/>
      <c r="D7" s="231" t="s">
        <v>4017</v>
      </c>
      <c r="E7" s="232"/>
      <c r="F7" s="232"/>
      <c r="G7" s="232"/>
      <c r="H7" s="232"/>
      <c r="I7" s="232"/>
      <c r="J7" s="233"/>
    </row>
    <row r="8" spans="1:45">
      <c r="B8" s="229" t="s">
        <v>116</v>
      </c>
      <c r="C8" s="230"/>
      <c r="D8" s="231" t="str">
        <f>エンティティ一覧!AE2&amp;"_"&amp;D5&amp;"_text_mml_mmllb_item_memo"</f>
        <v>sny_202310_base_text_mml_mmllb_item_memo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milscm_2023_009.sny_202310_base_text_mml_mmllb_item_memo;</v>
      </c>
      <c r="O10" s="76"/>
      <c r="P10" s="76"/>
      <c r="Q10" s="76"/>
      <c r="R10" s="76"/>
      <c r="S10" s="76"/>
      <c r="T10" s="76"/>
      <c r="AJ10" s="76" t="str">
        <f>"ALTER TABLE ONLY "&amp;エンティティ一覧!$O$2&amp;"."&amp;D$8</f>
        <v>ALTER TABLE ONLY milscm_2023_009.sny_202310_base_text_mml_mmllb_item_memo</v>
      </c>
      <c r="AS10" s="76" t="str">
        <f>"ALTER TABLE "&amp;エンティティ一覧!$O$2&amp;"."&amp;D$8&amp;" OWNER TO pgmisgrp1;"</f>
        <v>ALTER TABLE milscm_2023_009.sny_202310_base_text_mml_mmllb_item_memo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milscm_2023_009.sny_202310_base_text_mml_mmllb_item_memo</v>
      </c>
      <c r="O11" s="76"/>
      <c r="P11" s="76"/>
      <c r="Q11" s="76"/>
      <c r="R11" s="76"/>
      <c r="S11" s="76"/>
      <c r="T11" s="76"/>
      <c r="AJ11" s="76" t="str">
        <f>"ADD CONSTRAINT "&amp;D$8&amp;"_pkey PRIMARY KEY"</f>
        <v>ADD CONSTRAINT sny_202310_base_text_mml_mmllb_item_memo_pkey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milscm_2023_009.sny_202310_base_text_mml_mmllb_item_memo IS 'ベース_MML_検歴情報モジュール_検査項目コメント';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milscm_2023_009.sny_202310_base_text_mml_mmllb_item_memo.zip_no IS 'ZipファイルNo';</v>
      </c>
    </row>
    <row r="14" spans="1:45" s="25" customFormat="1">
      <c r="A14" s="4"/>
      <c r="B14" s="21">
        <f t="shared" ref="B14:B23" si="2">ROW()-12</f>
        <v>2</v>
      </c>
      <c r="C14" s="6" t="s">
        <v>2785</v>
      </c>
      <c r="D14" s="6" t="s">
        <v>2786</v>
      </c>
      <c r="E14" s="8" t="s">
        <v>127</v>
      </c>
      <c r="F14" s="7" t="s">
        <v>3276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milscm_2023_009.sny_202310_base_text_mml_mmllb_item_memo.labo_test_no IS '検体検査結果情報No';</v>
      </c>
    </row>
    <row r="19" spans="1:52"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milscm_2023_009.sny_202310_base_text_mml_mmllb_item_memo.item_no IS '項目No';</v>
      </c>
    </row>
    <row r="20" spans="1:52" s="25" customFormat="1">
      <c r="A20" s="4"/>
      <c r="B20" s="21">
        <f t="shared" si="2"/>
        <v>8</v>
      </c>
      <c r="C20" s="6" t="s">
        <v>3959</v>
      </c>
      <c r="D20" s="6" t="s">
        <v>3960</v>
      </c>
      <c r="E20" s="8" t="s">
        <v>127</v>
      </c>
      <c r="F20" s="7" t="s">
        <v>3276</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milscm_2023_009.sny_202310_base_text_mml_mmllb_item_memo.item_memo_no IS '項目コメントNo';</v>
      </c>
    </row>
    <row r="21" spans="1:52" s="25" customFormat="1">
      <c r="A21" s="4"/>
      <c r="B21" s="21">
        <f t="shared" si="2"/>
        <v>9</v>
      </c>
      <c r="C21" s="6" t="s">
        <v>3961</v>
      </c>
      <c r="D21" s="6" t="s">
        <v>3962</v>
      </c>
      <c r="E21" s="8"/>
      <c r="F21" s="7" t="s">
        <v>3278</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milscm_2023_009.sny_202310_base_text_mml_mmllb_item_memo.item_memo IS '項目コメント';</v>
      </c>
    </row>
    <row r="22" spans="1:52" s="25" customFormat="1">
      <c r="A22" s="4"/>
      <c r="B22" s="21">
        <f t="shared" si="2"/>
        <v>10</v>
      </c>
      <c r="C22" s="6" t="s">
        <v>3963</v>
      </c>
      <c r="D22" s="6" t="s">
        <v>3964</v>
      </c>
      <c r="E22" s="8"/>
      <c r="F22" s="7" t="s">
        <v>3278</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milscm_2023_009.sny_202310_base_text_mml_mmllb_item_memo.im_code_name IS '項目コメントコード名';</v>
      </c>
    </row>
    <row r="23" spans="1:52" s="25" customFormat="1">
      <c r="A23" s="4"/>
      <c r="B23" s="21">
        <f t="shared" si="2"/>
        <v>11</v>
      </c>
      <c r="C23" s="6" t="s">
        <v>3965</v>
      </c>
      <c r="D23" s="6" t="s">
        <v>3966</v>
      </c>
      <c r="E23" s="8"/>
      <c r="F23" s="7" t="s">
        <v>3278</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milscm_2023_009.sny_202310_base_text_mml_mmllb_item_memo.im_code IS '項目コメントコード';</v>
      </c>
    </row>
    <row r="24" spans="1:52" s="25" customFormat="1" ht="19.5" thickBot="1">
      <c r="A24" s="4"/>
      <c r="B24" s="27">
        <f>ROW()-12</f>
        <v>12</v>
      </c>
      <c r="C24" s="57" t="s">
        <v>3967</v>
      </c>
      <c r="D24" s="57" t="s">
        <v>3968</v>
      </c>
      <c r="E24" s="56"/>
      <c r="F24" s="56" t="s">
        <v>3278</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ENT_31_A6-24</v>
      </c>
      <c r="E6" s="240"/>
      <c r="F6" s="240"/>
      <c r="G6" s="240"/>
      <c r="H6" s="240"/>
      <c r="I6" s="240"/>
      <c r="J6" s="241"/>
    </row>
    <row r="7" spans="1:45">
      <c r="B7" s="229" t="s">
        <v>115</v>
      </c>
      <c r="C7" s="230"/>
      <c r="D7" s="231" t="s">
        <v>3700</v>
      </c>
      <c r="E7" s="232"/>
      <c r="F7" s="232"/>
      <c r="G7" s="232"/>
      <c r="H7" s="232"/>
      <c r="I7" s="232"/>
      <c r="J7" s="233"/>
    </row>
    <row r="8" spans="1:45">
      <c r="B8" s="229" t="s">
        <v>116</v>
      </c>
      <c r="C8" s="230"/>
      <c r="D8" s="231" t="str">
        <f>エンティティ一覧!AE2&amp;"_"&amp;D5&amp;"_text_mml_mmlps_body"</f>
        <v>sny_202310_base_text_mml_mmlps_body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milscm_2023_009.sny_202310_base_text_mml_mmlps_body;</v>
      </c>
      <c r="O10" s="76"/>
      <c r="P10" s="76"/>
      <c r="Q10" s="76"/>
      <c r="R10" s="76"/>
      <c r="S10" s="76"/>
      <c r="T10" s="76"/>
      <c r="AJ10" s="76" t="str">
        <f>"ALTER TABLE ONLY "&amp;エンティティ一覧!$O$2&amp;"."&amp;D$8</f>
        <v>ALTER TABLE ONLY milscm_2023_009.sny_202310_base_text_mml_mmlps_body</v>
      </c>
      <c r="AS10" s="76" t="str">
        <f>"ALTER TABLE "&amp;エンティティ一覧!$O$2&amp;"."&amp;D$8&amp;" OWNER TO pgmisgrp1;"</f>
        <v>ALTER TABLE milscm_2023_009.sny_202310_base_text_mml_mmlps_body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milscm_2023_009.sny_202310_base_text_mml_mmlps_body</v>
      </c>
      <c r="O11" s="76"/>
      <c r="P11" s="76"/>
      <c r="Q11" s="76"/>
      <c r="R11" s="76"/>
      <c r="S11" s="76"/>
      <c r="T11" s="76"/>
      <c r="AJ11" s="76" t="str">
        <f>"ADD CONSTRAINT "&amp;D$8&amp;"_pkey PRIMARY KEY"</f>
        <v>ADD CONSTRAINT sny_202310_base_text_mml_mmlps_body_pkey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milscm_2023_009.sny_202310_base_text_mml_mmlps_body.master_id IS '患者ID';</v>
      </c>
    </row>
    <row r="18" spans="1:52" s="25" customFormat="1" ht="37.5">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milscm_2023_009.sny_202310_base_text_mml_mmlps_body.issued_to IS '院外、院内処方箋の別';</v>
      </c>
    </row>
    <row r="19" spans="1:52" s="25" customFormat="1" ht="31.5">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milscm_2023_009.sny_202310_base_text_mml_mmlps_body.narcotic_prescription_license_no IS '麻薬施用者番号';</v>
      </c>
    </row>
    <row r="20" spans="1:52" s="25" customFormat="1" ht="19.5" thickBot="1">
      <c r="A20" s="4"/>
      <c r="B20" s="27">
        <f>ROW()-12</f>
        <v>8</v>
      </c>
      <c r="C20" s="57" t="s">
        <v>2818</v>
      </c>
      <c r="D20" s="57" t="s">
        <v>2819</v>
      </c>
      <c r="E20" s="56"/>
      <c r="F20" s="56" t="s">
        <v>1823</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ENT_31_A6-25</v>
      </c>
      <c r="E6" s="240"/>
      <c r="F6" s="240"/>
      <c r="G6" s="240"/>
      <c r="H6" s="240"/>
      <c r="I6" s="240"/>
      <c r="J6" s="241"/>
    </row>
    <row r="7" spans="1:45">
      <c r="B7" s="229" t="s">
        <v>115</v>
      </c>
      <c r="C7" s="230"/>
      <c r="D7" s="231" t="s">
        <v>3701</v>
      </c>
      <c r="E7" s="232"/>
      <c r="F7" s="232"/>
      <c r="G7" s="232"/>
      <c r="H7" s="232"/>
      <c r="I7" s="232"/>
      <c r="J7" s="233"/>
    </row>
    <row r="8" spans="1:45">
      <c r="B8" s="229" t="s">
        <v>116</v>
      </c>
      <c r="C8" s="230"/>
      <c r="D8" s="231" t="str">
        <f>エンティティ一覧!AE2&amp;"_"&amp;D5&amp;"_text_mml_mmlps_medication"</f>
        <v>sny_202310_base_text_mml_mmlps_medication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milscm_2023_009.sny_202310_base_text_mml_mmlps_medication;</v>
      </c>
      <c r="O10" s="76"/>
      <c r="P10" s="76"/>
      <c r="Q10" s="76"/>
      <c r="R10" s="76"/>
      <c r="S10" s="76"/>
      <c r="T10" s="76"/>
      <c r="AJ10" s="76" t="str">
        <f>"ALTER TABLE ONLY "&amp;エンティティ一覧!$O$2&amp;"."&amp;D$8</f>
        <v>ALTER TABLE ONLY milscm_2023_009.sny_202310_base_text_mml_mmlps_medication</v>
      </c>
      <c r="AS10" s="76" t="str">
        <f>"ALTER TABLE "&amp;エンティティ一覧!$O$2&amp;"."&amp;D$8&amp;" OWNER TO pgmisgrp1;"</f>
        <v>ALTER TABLE milscm_2023_009.sny_202310_base_text_mml_mmlps_medication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milscm_2023_009.sny_202310_base_text_mml_mmlps_medication</v>
      </c>
      <c r="O11" s="76"/>
      <c r="P11" s="76"/>
      <c r="Q11" s="76"/>
      <c r="R11" s="76"/>
      <c r="S11" s="76"/>
      <c r="T11" s="76"/>
      <c r="AJ11" s="76" t="str">
        <f>"ADD CONSTRAINT "&amp;D$8&amp;"_pkey PRIMARY KEY"</f>
        <v>ADD CONSTRAINT sny_202310_base_text_mml_mmlps_medication_pkey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2824</v>
      </c>
      <c r="D19" s="6" t="s">
        <v>2825</v>
      </c>
      <c r="E19" s="8"/>
      <c r="F19" s="7" t="s">
        <v>1823</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2826</v>
      </c>
      <c r="D20" s="6" t="s">
        <v>2827</v>
      </c>
      <c r="E20" s="8"/>
      <c r="F20" s="7" t="s">
        <v>1823</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milscm_2023_009.sny_202310_base_text_mml_mmlps_medication.dose IS '用量';</v>
      </c>
    </row>
    <row r="21" spans="1:45" s="25" customFormat="1">
      <c r="A21" s="4"/>
      <c r="B21" s="21">
        <f t="shared" si="2"/>
        <v>9</v>
      </c>
      <c r="C21" s="6" t="s">
        <v>2828</v>
      </c>
      <c r="D21" s="6" t="s">
        <v>2829</v>
      </c>
      <c r="E21" s="8"/>
      <c r="F21" s="7" t="s">
        <v>1823</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2830</v>
      </c>
      <c r="D22" s="6" t="s">
        <v>2831</v>
      </c>
      <c r="E22" s="8"/>
      <c r="F22" s="7" t="s">
        <v>1823</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2832</v>
      </c>
      <c r="D23" s="6" t="s">
        <v>2791</v>
      </c>
      <c r="E23" s="8"/>
      <c r="F23" s="7" t="s">
        <v>1823</v>
      </c>
      <c r="G23" s="7" t="str">
        <f t="shared" si="3"/>
        <v>text</v>
      </c>
      <c r="H23" s="26"/>
      <c r="I23" s="10"/>
      <c r="J23" s="11" t="s">
        <v>2853</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2833</v>
      </c>
      <c r="D24" s="6" t="s">
        <v>2834</v>
      </c>
      <c r="E24" s="8"/>
      <c r="F24" s="7" t="s">
        <v>1823</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2835</v>
      </c>
      <c r="D25" s="6" t="s">
        <v>2836</v>
      </c>
      <c r="E25" s="8"/>
      <c r="F25" s="7" t="s">
        <v>1823</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2837</v>
      </c>
      <c r="D26" s="6" t="s">
        <v>2838</v>
      </c>
      <c r="E26" s="8"/>
      <c r="F26" s="7" t="s">
        <v>1823</v>
      </c>
      <c r="G26" s="7" t="str">
        <f t="shared" si="3"/>
        <v>text</v>
      </c>
      <c r="H26" s="26"/>
      <c r="I26" s="10"/>
      <c r="J26" s="11" t="s">
        <v>2854</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2839</v>
      </c>
      <c r="D27" s="6" t="s">
        <v>2840</v>
      </c>
      <c r="E27" s="8"/>
      <c r="F27" s="7" t="s">
        <v>1823</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2841</v>
      </c>
      <c r="D28" s="6" t="s">
        <v>2842</v>
      </c>
      <c r="E28" s="8"/>
      <c r="F28" s="7" t="s">
        <v>1823</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2843</v>
      </c>
      <c r="D29" s="6" t="s">
        <v>2844</v>
      </c>
      <c r="E29" s="8"/>
      <c r="F29" s="7" t="s">
        <v>1823</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milscm_2023_009.sny_202310_base_text_mml_mmlps_medication.form IS '剤形';</v>
      </c>
    </row>
    <row r="30" spans="1:45" s="25" customFormat="1">
      <c r="A30" s="4"/>
      <c r="B30" s="21">
        <f t="shared" si="2"/>
        <v>18</v>
      </c>
      <c r="C30" s="6" t="s">
        <v>2845</v>
      </c>
      <c r="D30" s="6" t="s">
        <v>2846</v>
      </c>
      <c r="E30" s="8"/>
      <c r="F30" s="7" t="s">
        <v>1823</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milscm_2023_009.sny_202310_base_text_mml_mmlps_medication.batch_no IS '処方番号';</v>
      </c>
    </row>
    <row r="31" spans="1:45" s="25" customFormat="1" ht="37.5">
      <c r="A31" s="4"/>
      <c r="B31" s="21">
        <f t="shared" si="2"/>
        <v>19</v>
      </c>
      <c r="C31" s="6" t="s">
        <v>2847</v>
      </c>
      <c r="D31" s="6" t="s">
        <v>2848</v>
      </c>
      <c r="E31" s="8"/>
      <c r="F31" s="7" t="s">
        <v>1823</v>
      </c>
      <c r="G31" s="7" t="str">
        <f t="shared" si="3"/>
        <v>text</v>
      </c>
      <c r="H31" s="26"/>
      <c r="I31" s="10"/>
      <c r="J31" s="11" t="s">
        <v>2855</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2849</v>
      </c>
      <c r="D32" s="6" t="s">
        <v>2850</v>
      </c>
      <c r="E32" s="8"/>
      <c r="F32" s="7" t="s">
        <v>1823</v>
      </c>
      <c r="G32" s="7" t="str">
        <f t="shared" si="3"/>
        <v>text</v>
      </c>
      <c r="H32" s="26"/>
      <c r="I32" s="10"/>
      <c r="J32" s="11" t="s">
        <v>2856</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milscm_2023_009.sny_202310_base_text_mml_mmlps_medication.long_term IS '長期処方可';</v>
      </c>
    </row>
    <row r="33" spans="1:52" s="25" customFormat="1" ht="19.5" thickBot="1">
      <c r="A33" s="4"/>
      <c r="B33" s="27">
        <f>ROW()-12</f>
        <v>21</v>
      </c>
      <c r="C33" s="57" t="s">
        <v>2851</v>
      </c>
      <c r="D33" s="57" t="s">
        <v>2852</v>
      </c>
      <c r="E33" s="56"/>
      <c r="F33" s="56" t="s">
        <v>1823</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ENT_31_A6-26</v>
      </c>
      <c r="E6" s="240"/>
      <c r="F6" s="240"/>
      <c r="G6" s="240"/>
      <c r="H6" s="240"/>
      <c r="I6" s="240"/>
      <c r="J6" s="241"/>
    </row>
    <row r="7" spans="1:45">
      <c r="B7" s="229" t="s">
        <v>115</v>
      </c>
      <c r="C7" s="230"/>
      <c r="D7" s="231" t="s">
        <v>3702</v>
      </c>
      <c r="E7" s="232"/>
      <c r="F7" s="232"/>
      <c r="G7" s="232"/>
      <c r="H7" s="232"/>
      <c r="I7" s="232"/>
      <c r="J7" s="233"/>
    </row>
    <row r="8" spans="1:45">
      <c r="B8" s="229" t="s">
        <v>116</v>
      </c>
      <c r="C8" s="230"/>
      <c r="D8" s="231" t="str">
        <f>エンティティ一覧!AE2&amp;"_"&amp;D5&amp;"_text_mml_mmlps_medicine"</f>
        <v>sny_202310_base_text_mml_mmlps_medicine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milscm_2023_009.sny_202310_base_text_mml_mmlps_medicine;</v>
      </c>
      <c r="O10" s="76"/>
      <c r="P10" s="76"/>
      <c r="Q10" s="76"/>
      <c r="R10" s="76"/>
      <c r="S10" s="76"/>
      <c r="T10" s="76"/>
      <c r="AJ10" s="76" t="str">
        <f>"ALTER TABLE ONLY "&amp;エンティティ一覧!$O$2&amp;"."&amp;D$8</f>
        <v>ALTER TABLE ONLY milscm_2023_009.sny_202310_base_text_mml_mmlps_medicine</v>
      </c>
      <c r="AS10" s="76" t="str">
        <f>"ALTER TABLE "&amp;エンティティ一覧!$O$2&amp;"."&amp;D$8&amp;" OWNER TO pgmisgrp1;"</f>
        <v>ALTER TABLE milscm_2023_009.sny_202310_base_text_mml_mmlps_medicine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milscm_2023_009.sny_202310_base_text_mml_mmlps_medicine</v>
      </c>
      <c r="O11" s="76"/>
      <c r="P11" s="76"/>
      <c r="Q11" s="76"/>
      <c r="R11" s="76"/>
      <c r="S11" s="76"/>
      <c r="T11" s="76"/>
      <c r="AJ11" s="76" t="str">
        <f>"ADD CONSTRAINT "&amp;D$8&amp;"_pkey PRIMARY KEY"</f>
        <v>ADD CONSTRAINT sny_202310_base_text_mml_mmlps_medicine_pkey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milscm_2023_009.sny_202310_base_text_mml_mmlps_medicine.code IS '薬剤コード';</v>
      </c>
    </row>
    <row r="21" spans="1:52" s="25" customFormat="1" ht="19.5"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ENT_31_C1-02</v>
      </c>
      <c r="E6" s="240"/>
      <c r="F6" s="240"/>
      <c r="G6" s="240"/>
      <c r="H6" s="240"/>
      <c r="I6" s="240"/>
      <c r="J6" s="241"/>
    </row>
    <row r="7" spans="1:45">
      <c r="B7" s="229" t="s">
        <v>115</v>
      </c>
      <c r="C7" s="230"/>
      <c r="D7" s="231" t="s">
        <v>309</v>
      </c>
      <c r="E7" s="232"/>
      <c r="F7" s="232"/>
      <c r="G7" s="232"/>
      <c r="H7" s="232"/>
      <c r="I7" s="232"/>
      <c r="J7" s="233"/>
    </row>
    <row r="8" spans="1:45">
      <c r="B8" s="229" t="s">
        <v>116</v>
      </c>
      <c r="C8" s="230"/>
      <c r="D8" s="231" t="str">
        <f>エンティティ一覧!AE2&amp;"_"&amp;D5&amp;"_merge_dpc_efn"</f>
        <v>sny_202310_base_merge_dpc_efn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milscm_2023_009.sny_202310_base_merge_dpc_efn;</v>
      </c>
      <c r="O10" s="76"/>
      <c r="P10" s="76"/>
      <c r="Q10" s="76"/>
      <c r="R10" s="76"/>
      <c r="S10" s="76"/>
      <c r="T10" s="76"/>
      <c r="AJ10" s="76" t="str">
        <f>"ALTER TABLE ONLY "&amp;エンティティ一覧!$O$2&amp;"."&amp;D$8</f>
        <v>ALTER TABLE ONLY milscm_2023_009.sny_202310_base_merge_dpc_efn</v>
      </c>
      <c r="AS10" s="76" t="str">
        <f>"ALTER TABLE "&amp;エンティティ一覧!$O$2&amp;"."&amp;D$8&amp;" OWNER TO pgmisgrp1;"</f>
        <v>ALTER TABLE milscm_2023_009.sny_202310_base_merge_dpc_efn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milscm_2023_009.sny_202310_base_merge_dpc_efn</v>
      </c>
      <c r="O11" s="76"/>
      <c r="P11" s="76"/>
      <c r="Q11" s="76"/>
      <c r="R11" s="76"/>
      <c r="S11" s="76"/>
      <c r="T11" s="76"/>
      <c r="AJ11" s="76" t="str">
        <f>"ADD CONSTRAINT "&amp;D$8&amp;"_pkey PRIMARY KEY"</f>
        <v>ADD CONSTRAINT sny_202310_base_merge_dpc_efn_pkey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milscm_2023_009.sny_202310_base_merge_dpc_efn.taiin_ymd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milscm_2023_009.sny_202310_base_merge_dpc_efn.dekidaka_tensu IS '出来高実績点数';</v>
      </c>
    </row>
    <row r="33" spans="1:52" s="25" customFormat="1" ht="56.25">
      <c r="A33" s="4"/>
      <c r="B33" s="21">
        <f t="shared" si="2"/>
        <v>21</v>
      </c>
      <c r="C33" s="6" t="s">
        <v>281</v>
      </c>
      <c r="D33" s="6" t="s">
        <v>132</v>
      </c>
      <c r="E33" s="8"/>
      <c r="F33" s="8" t="s">
        <v>201</v>
      </c>
      <c r="G33" s="7" t="str">
        <f t="shared" si="3"/>
        <v>text</v>
      </c>
      <c r="H33" s="9"/>
      <c r="I33" s="10"/>
      <c r="J33" s="53"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milscm_2023_009.sny_202310_base_merge_dpc_efn.koi_meisai_kubun IS '行為明細区分情報';</v>
      </c>
    </row>
    <row r="34" spans="1:52" s="25" customFormat="1" ht="56.25">
      <c r="A34" s="4"/>
      <c r="B34" s="21">
        <f t="shared" si="2"/>
        <v>22</v>
      </c>
      <c r="C34" s="6" t="s">
        <v>282</v>
      </c>
      <c r="D34" s="6" t="s">
        <v>224</v>
      </c>
      <c r="E34" s="8"/>
      <c r="F34" s="8" t="s">
        <v>225</v>
      </c>
      <c r="G34" s="7" t="str">
        <f t="shared" si="3"/>
        <v>numeric</v>
      </c>
      <c r="H34" s="9"/>
      <c r="I34" s="10"/>
      <c r="J34" s="53"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milscm_2023_009.sny_202310_base_merge_dpc_efn.nyugai_kubun IS '入外区分';</v>
      </c>
      <c r="AT46" s="4"/>
      <c r="AU46" s="4"/>
    </row>
    <row r="47" spans="1:52" s="25" customFormat="1" ht="19.5" thickBot="1">
      <c r="A47" s="4"/>
      <c r="B47" s="27">
        <f>ROW()-12</f>
        <v>35</v>
      </c>
      <c r="C47" s="28" t="s">
        <v>294</v>
      </c>
      <c r="D47" s="28" t="s">
        <v>245</v>
      </c>
      <c r="E47" s="29"/>
      <c r="F47" s="29" t="s">
        <v>201</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ENT_31_C1-03</v>
      </c>
      <c r="E6" s="240"/>
      <c r="F6" s="240"/>
      <c r="G6" s="240"/>
      <c r="H6" s="240"/>
      <c r="I6" s="240"/>
      <c r="J6" s="241"/>
    </row>
    <row r="7" spans="1:45">
      <c r="B7" s="229" t="s">
        <v>115</v>
      </c>
      <c r="C7" s="230"/>
      <c r="D7" s="231" t="s">
        <v>310</v>
      </c>
      <c r="E7" s="232"/>
      <c r="F7" s="232"/>
      <c r="G7" s="232"/>
      <c r="H7" s="232"/>
      <c r="I7" s="232"/>
      <c r="J7" s="233"/>
    </row>
    <row r="8" spans="1:45">
      <c r="B8" s="229" t="s">
        <v>116</v>
      </c>
      <c r="C8" s="230"/>
      <c r="D8" s="231" t="str">
        <f>エンティティ一覧!AE2&amp;"_"&amp;D5&amp;"_merge_dpc_efg"</f>
        <v>sny_202310_base_merge_dpc_efg</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milscm_2023_009.sny_202310_base_merge_dpc_efg;</v>
      </c>
      <c r="O10" s="76"/>
      <c r="P10" s="76"/>
      <c r="Q10" s="76"/>
      <c r="R10" s="76"/>
      <c r="S10" s="76"/>
      <c r="T10" s="76"/>
      <c r="AJ10" s="76" t="str">
        <f>"ALTER TABLE ONLY "&amp;エンティティ一覧!$O$2&amp;"."&amp;D$8</f>
        <v>ALTER TABLE ONLY milscm_2023_009.sny_202310_base_merge_dpc_efg</v>
      </c>
      <c r="AS10" s="76" t="str">
        <f>"ALTER TABLE "&amp;エンティティ一覧!$O$2&amp;"."&amp;D$8&amp;" OWNER TO pgmisgrp1;"</f>
        <v>ALTER TABLE milscm_2023_009.sny_202310_base_merge_dpc_efg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milscm_2023_009.sny_202310_base_merge_dpc_efg</v>
      </c>
      <c r="O11" s="76"/>
      <c r="P11" s="76"/>
      <c r="Q11" s="76"/>
      <c r="R11" s="76"/>
      <c r="S11" s="76"/>
      <c r="T11" s="76"/>
      <c r="AJ11" s="76" t="str">
        <f>"ADD CONSTRAINT "&amp;D$8&amp;"_pkey PRIMARY KEY"</f>
        <v>ADD CONSTRAINT sny_202310_base_merge_dpc_efg_pkey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milscm_2023_009.sny_202310_base_merge_dpc_efg.birthday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milscm_2023_009.sny_202310_base_merge_dpc_efg.dekidaka_tensu IS '出来高実績点数';</v>
      </c>
    </row>
    <row r="33" spans="1:52" s="25" customFormat="1" ht="56.25">
      <c r="A33" s="4"/>
      <c r="B33" s="21">
        <f t="shared" si="2"/>
        <v>21</v>
      </c>
      <c r="C33" s="6" t="s">
        <v>338</v>
      </c>
      <c r="D33" s="6" t="s">
        <v>132</v>
      </c>
      <c r="E33" s="8"/>
      <c r="F33" s="7" t="s">
        <v>317</v>
      </c>
      <c r="G33" s="7" t="str">
        <f t="shared" si="3"/>
        <v>text</v>
      </c>
      <c r="H33" s="26"/>
      <c r="I33" s="10"/>
      <c r="J33" s="11"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milscm_2023_009.sny_202310_base_merge_dpc_efg.koi_meisai_kubun IS '行為明細区分情報';</v>
      </c>
    </row>
    <row r="34" spans="1:52" s="25" customFormat="1" ht="56.25">
      <c r="A34" s="4"/>
      <c r="B34" s="21">
        <f t="shared" si="2"/>
        <v>22</v>
      </c>
      <c r="C34" s="13" t="s">
        <v>339</v>
      </c>
      <c r="D34" s="13" t="s">
        <v>340</v>
      </c>
      <c r="E34" s="7"/>
      <c r="F34" s="7" t="s">
        <v>332</v>
      </c>
      <c r="G34" s="7" t="str">
        <f t="shared" si="3"/>
        <v>numeric</v>
      </c>
      <c r="H34" s="58"/>
      <c r="I34" s="23"/>
      <c r="J34" s="24"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milscm_2023_009.sny_202310_base_merge_dpc_efg.nyugai_kubun IS '入外区分';</v>
      </c>
      <c r="AT46" s="4"/>
      <c r="AU46" s="4"/>
    </row>
    <row r="47" spans="1:52" s="25" customFormat="1" ht="19.5" thickBot="1">
      <c r="A47" s="4"/>
      <c r="B47" s="27">
        <f>ROW()-12</f>
        <v>35</v>
      </c>
      <c r="C47" s="57" t="s">
        <v>352</v>
      </c>
      <c r="D47" s="57" t="s">
        <v>245</v>
      </c>
      <c r="E47" s="56"/>
      <c r="F47" s="56" t="s">
        <v>317</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ENT_31_C1-05</v>
      </c>
      <c r="E6" s="240"/>
      <c r="F6" s="240"/>
      <c r="G6" s="240"/>
      <c r="H6" s="240"/>
      <c r="I6" s="240"/>
      <c r="J6" s="241"/>
    </row>
    <row r="7" spans="1:45">
      <c r="B7" s="229" t="s">
        <v>115</v>
      </c>
      <c r="C7" s="230"/>
      <c r="D7" s="231" t="s">
        <v>311</v>
      </c>
      <c r="E7" s="232"/>
      <c r="F7" s="232"/>
      <c r="G7" s="232"/>
      <c r="H7" s="232"/>
      <c r="I7" s="232"/>
      <c r="J7" s="233"/>
    </row>
    <row r="8" spans="1:45">
      <c r="B8" s="229" t="s">
        <v>116</v>
      </c>
      <c r="C8" s="230"/>
      <c r="D8" s="231" t="str">
        <f>エンティティ一覧!AE2&amp;"_"&amp;D5&amp;"_merge_dpc_ff1"</f>
        <v>sny_202310_base_merge_dpc_ff1</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milscm_2023_009.sny_202310_base_merge_dpc_ff1;</v>
      </c>
      <c r="O10" s="76"/>
      <c r="P10" s="76"/>
      <c r="Q10" s="76"/>
      <c r="R10" s="76"/>
      <c r="S10" s="76"/>
      <c r="T10" s="76"/>
      <c r="AJ10" s="76" t="str">
        <f>"ALTER TABLE ONLY "&amp;エンティティ一覧!$O$2&amp;"."&amp;D$8</f>
        <v>ALTER TABLE ONLY milscm_2023_009.sny_202310_base_merge_dpc_ff1</v>
      </c>
      <c r="AS10" s="76" t="str">
        <f>"ALTER TABLE "&amp;エンティティ一覧!$O$2&amp;"."&amp;D$8&amp;" OWNER TO pgmisgrp1;"</f>
        <v>ALTER TABLE milscm_2023_009.sny_202310_base_merge_dpc_ff1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v>
      </c>
      <c r="O11" s="76"/>
      <c r="P11" s="76"/>
      <c r="Q11" s="76"/>
      <c r="R11" s="76"/>
      <c r="S11" s="76"/>
      <c r="T11" s="76"/>
      <c r="AJ11" s="76" t="str">
        <f>"ADD CONSTRAINT "&amp;D$8&amp;"_pkey PRIMARY KEY"</f>
        <v>ADD CONSTRAINT sny_202310_base_merge_dpc_ff1_pkey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1.5">
      <c r="A47" s="4"/>
      <c r="B47" s="21">
        <f t="shared" si="2"/>
        <v>35</v>
      </c>
      <c r="C47" s="13" t="s">
        <v>609</v>
      </c>
      <c r="D47" s="13" t="s">
        <v>610</v>
      </c>
      <c r="E47" s="7"/>
      <c r="F47" s="7" t="s">
        <v>317</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ENT_31_C1-07</v>
      </c>
      <c r="E6" s="240"/>
      <c r="F6" s="240"/>
      <c r="G6" s="240"/>
      <c r="H6" s="240"/>
      <c r="I6" s="240"/>
      <c r="J6" s="241"/>
    </row>
    <row r="7" spans="1:45">
      <c r="B7" s="229" t="s">
        <v>115</v>
      </c>
      <c r="C7" s="230"/>
      <c r="D7" s="231" t="s">
        <v>312</v>
      </c>
      <c r="E7" s="232"/>
      <c r="F7" s="232"/>
      <c r="G7" s="232"/>
      <c r="H7" s="232"/>
      <c r="I7" s="232"/>
      <c r="J7" s="233"/>
    </row>
    <row r="8" spans="1:45">
      <c r="B8" s="229" t="s">
        <v>116</v>
      </c>
      <c r="C8" s="230"/>
      <c r="D8" s="231" t="str">
        <f>エンティティ一覧!AE2&amp;"_"&amp;D5&amp;"_merge_dpc_ff1_a006040"</f>
        <v>sny_202310_base_merge_dpc_ff1_a006040</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milscm_2023_009.sny_202310_base_merge_dpc_ff1_a006040;</v>
      </c>
      <c r="O10" s="76"/>
      <c r="P10" s="76"/>
      <c r="Q10" s="76"/>
      <c r="R10" s="76"/>
      <c r="S10" s="76"/>
      <c r="T10" s="76"/>
      <c r="AJ10" s="76" t="str">
        <f>"ALTER TABLE ONLY "&amp;エンティティ一覧!$O$2&amp;"."&amp;D$8</f>
        <v>ALTER TABLE ONLY milscm_2023_009.sny_202310_base_merge_dpc_ff1_a006040</v>
      </c>
      <c r="AS10" s="76" t="str">
        <f>"ALTER TABLE "&amp;エンティティ一覧!$O$2&amp;"."&amp;D$8&amp;" OWNER TO pgmisgrp1;"</f>
        <v>ALTER TABLE milscm_2023_009.sny_202310_base_merge_dpc_ff1_a006040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milscm_2023_009.sny_202310_base_merge_dpc_ff1_a006040</v>
      </c>
      <c r="O11" s="76"/>
      <c r="P11" s="76"/>
      <c r="Q11" s="76"/>
      <c r="R11" s="76"/>
      <c r="S11" s="76"/>
      <c r="T11" s="76"/>
      <c r="AJ11" s="76" t="str">
        <f>"ADD CONSTRAINT "&amp;D$8&amp;"_pkey PRIMARY KEY"</f>
        <v>ADD CONSTRAINT sny_202310_base_merge_dpc_ff1_a006040_pkey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4" t="s">
        <v>882</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ENT_31_C1-08</v>
      </c>
      <c r="E6" s="240"/>
      <c r="F6" s="240"/>
      <c r="G6" s="240"/>
      <c r="H6" s="240"/>
      <c r="I6" s="240"/>
      <c r="J6" s="241"/>
    </row>
    <row r="7" spans="1:45">
      <c r="B7" s="229" t="s">
        <v>115</v>
      </c>
      <c r="C7" s="230"/>
      <c r="D7" s="231" t="s">
        <v>313</v>
      </c>
      <c r="E7" s="232"/>
      <c r="F7" s="232"/>
      <c r="G7" s="232"/>
      <c r="H7" s="232"/>
      <c r="I7" s="232"/>
      <c r="J7" s="233"/>
    </row>
    <row r="8" spans="1:45">
      <c r="B8" s="229" t="s">
        <v>116</v>
      </c>
      <c r="C8" s="230"/>
      <c r="D8" s="231" t="str">
        <f>エンティティ一覧!AE2&amp;"_"&amp;D5&amp;"_merge_dpc_ff1_a006050"</f>
        <v>sny_202310_base_merge_dpc_ff1_a006050</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milscm_2023_009.sny_202310_base_merge_dpc_ff1_a006050;</v>
      </c>
      <c r="O10" s="76"/>
      <c r="P10" s="76"/>
      <c r="Q10" s="76"/>
      <c r="R10" s="76"/>
      <c r="S10" s="76"/>
      <c r="T10" s="76"/>
      <c r="AJ10" s="76" t="str">
        <f>"ALTER TABLE ONLY "&amp;エンティティ一覧!$O$2&amp;"."&amp;D$8</f>
        <v>ALTER TABLE ONLY milscm_2023_009.sny_202310_base_merge_dpc_ff1_a006050</v>
      </c>
      <c r="AS10" s="76" t="str">
        <f>"ALTER TABLE "&amp;エンティティ一覧!$O$2&amp;"."&amp;D$8&amp;" OWNER TO pgmisgrp1;"</f>
        <v>ALTER TABLE milscm_2023_009.sny_202310_base_merge_dpc_ff1_a006050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milscm_2023_009.sny_202310_base_merge_dpc_ff1_a006050</v>
      </c>
      <c r="O11" s="76"/>
      <c r="P11" s="76"/>
      <c r="Q11" s="76"/>
      <c r="R11" s="76"/>
      <c r="S11" s="76"/>
      <c r="T11" s="76"/>
      <c r="AJ11" s="76" t="str">
        <f>"ADD CONSTRAINT "&amp;D$8&amp;"_pkey PRIMARY KEY"</f>
        <v>ADD CONSTRAINT sny_202310_base_merge_dpc_ff1_a006050_pkey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ENT_31_C4-03</v>
      </c>
      <c r="E6" s="240"/>
      <c r="F6" s="240"/>
      <c r="G6" s="240"/>
      <c r="H6" s="240"/>
      <c r="I6" s="240"/>
      <c r="J6" s="241"/>
    </row>
    <row r="7" spans="1:45">
      <c r="B7" s="229" t="s">
        <v>115</v>
      </c>
      <c r="C7" s="230"/>
      <c r="D7" s="231" t="s">
        <v>3678</v>
      </c>
      <c r="E7" s="232"/>
      <c r="F7" s="232"/>
      <c r="G7" s="232"/>
      <c r="H7" s="232"/>
      <c r="I7" s="232"/>
      <c r="J7" s="233"/>
    </row>
    <row r="8" spans="1:45">
      <c r="B8" s="229" t="s">
        <v>116</v>
      </c>
      <c r="C8" s="230"/>
      <c r="D8" s="231" t="str">
        <f>エンティティ一覧!AE2&amp;"_"&amp;D5&amp;"_merge_mml_rd_register"</f>
        <v>sny_202310_base_merge_mml_rd_register</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milscm_2023_009.sny_202310_base_merge_mml_rd_register;</v>
      </c>
      <c r="O10" s="76"/>
      <c r="P10" s="76"/>
      <c r="Q10" s="76"/>
      <c r="R10" s="76"/>
      <c r="S10" s="76"/>
      <c r="T10" s="76"/>
      <c r="AJ10" s="76" t="str">
        <f>"ALTER TABLE ONLY "&amp;エンティティ一覧!$O$2&amp;"."&amp;D$8</f>
        <v>ALTER TABLE ONLY milscm_2023_009.sny_202310_base_merge_mml_rd_register</v>
      </c>
      <c r="AS10" s="76" t="str">
        <f>"ALTER TABLE "&amp;エンティティ一覧!$O$2&amp;"."&amp;D$8&amp;" OWNER TO pgmisgrp1;"</f>
        <v>ALTER TABLE milscm_2023_009.sny_202310_base_merge_mml_rd_register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milscm_2023_009.sny_202310_base_merge_mml_rd_register</v>
      </c>
      <c r="O11" s="76"/>
      <c r="P11" s="76"/>
      <c r="Q11" s="76"/>
      <c r="R11" s="76"/>
      <c r="S11" s="76"/>
      <c r="T11" s="76"/>
      <c r="AJ11" s="76" t="str">
        <f>"ADD CONSTRAINT "&amp;D$8&amp;"_pkey PRIMARY KEY"</f>
        <v>ADD CONSTRAINT sny_202310_base_merge_mml_rd_register_pkey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milscm_2023_009.sny_202310_base_merge_mml_rd_register.facility_id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milscm_2023_009.sny_202310_base_merge_mml_rd_register.data_type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milscm_2023_009.sny_202310_base_merge_mml_rd_register.master_id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milscm_2023_009.sny_202310_base_merge_mml_rd_register.uid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1305</v>
      </c>
      <c r="D21" s="13" t="s">
        <v>1306</v>
      </c>
      <c r="E21" s="7"/>
      <c r="F21" s="7" t="s">
        <v>865</v>
      </c>
      <c r="G21" s="7" t="str">
        <f t="shared" si="3"/>
        <v>text</v>
      </c>
      <c r="H21" s="58"/>
      <c r="I21" s="23"/>
      <c r="J21" s="24" t="s">
        <v>1315</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1307</v>
      </c>
      <c r="D22" s="13" t="s">
        <v>1308</v>
      </c>
      <c r="E22" s="7"/>
      <c r="F22" s="7" t="s">
        <v>865</v>
      </c>
      <c r="G22" s="7" t="str">
        <f t="shared" si="3"/>
        <v>text</v>
      </c>
      <c r="H22" s="58"/>
      <c r="I22" s="23"/>
      <c r="J22" s="24" t="s">
        <v>1316</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1309</v>
      </c>
      <c r="D23" s="13" t="s">
        <v>1310</v>
      </c>
      <c r="E23" s="7"/>
      <c r="F23" s="7" t="s">
        <v>865</v>
      </c>
      <c r="G23" s="7" t="str">
        <f t="shared" si="3"/>
        <v>text</v>
      </c>
      <c r="H23" s="58"/>
      <c r="I23" s="23"/>
      <c r="J23" s="24" t="s">
        <v>1317</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milscm_2023_009.sny_202310_base_merge_mml_rd_register.tenki IS '転帰';</v>
      </c>
    </row>
    <row r="24" spans="1:52" s="25" customFormat="1" ht="19.5" thickBot="1">
      <c r="A24" s="4"/>
      <c r="B24" s="27">
        <f>ROW()-12</f>
        <v>12</v>
      </c>
      <c r="C24" s="57" t="s">
        <v>1311</v>
      </c>
      <c r="D24" s="57" t="s">
        <v>1312</v>
      </c>
      <c r="E24" s="56"/>
      <c r="F24" s="56" t="s">
        <v>865</v>
      </c>
      <c r="G24" s="56" t="str">
        <f t="shared" si="3"/>
        <v>text</v>
      </c>
      <c r="H24" s="59"/>
      <c r="I24" s="60"/>
      <c r="J24" s="64" t="s">
        <v>1318</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topLeftCell="A19" zoomScale="85" zoomScaleNormal="85" workbookViewId="0">
      <selection activeCell="A19" sqref="A1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ENT_31_C4-04</v>
      </c>
      <c r="E6" s="240"/>
      <c r="F6" s="240"/>
      <c r="G6" s="240"/>
      <c r="H6" s="240"/>
      <c r="I6" s="240"/>
      <c r="J6" s="241"/>
    </row>
    <row r="7" spans="1:45">
      <c r="B7" s="229" t="s">
        <v>115</v>
      </c>
      <c r="C7" s="230"/>
      <c r="D7" s="231" t="s">
        <v>3679</v>
      </c>
      <c r="E7" s="232"/>
      <c r="F7" s="232"/>
      <c r="G7" s="232"/>
      <c r="H7" s="232"/>
      <c r="I7" s="232"/>
      <c r="J7" s="233"/>
    </row>
    <row r="8" spans="1:45">
      <c r="B8" s="229" t="s">
        <v>116</v>
      </c>
      <c r="C8" s="230"/>
      <c r="D8" s="231" t="str">
        <f>エンティティ一覧!AE2&amp;"_"&amp;D5&amp;"_merge_mml_rd_byomei"</f>
        <v>sny_202310_base_merge_mml_rd_byomei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milscm_2023_009.sny_202310_base_merge_mml_rd_byomei;</v>
      </c>
      <c r="O10" s="76"/>
      <c r="P10" s="76"/>
      <c r="Q10" s="76"/>
      <c r="R10" s="76"/>
      <c r="S10" s="76"/>
      <c r="T10" s="76"/>
      <c r="AJ10" s="76" t="str">
        <f>"ALTER TABLE ONLY "&amp;エンティティ一覧!$O$2&amp;"."&amp;D$8</f>
        <v>ALTER TABLE ONLY milscm_2023_009.sny_202310_base_merge_mml_rd_byomei</v>
      </c>
      <c r="AS10" s="76" t="str">
        <f>"ALTER TABLE "&amp;エンティティ一覧!$O$2&amp;"."&amp;D$8&amp;" OWNER TO pgmisgrp1;"</f>
        <v>ALTER TABLE milscm_2023_009.sny_202310_base_merge_mml_rd_byomei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milscm_2023_009.sny_202310_base_merge_mml_rd_byomei</v>
      </c>
      <c r="O11" s="76"/>
      <c r="P11" s="76"/>
      <c r="Q11" s="76"/>
      <c r="R11" s="76"/>
      <c r="S11" s="76"/>
      <c r="T11" s="76"/>
      <c r="AJ11" s="76" t="str">
        <f>"ADD CONSTRAINT "&amp;D$8&amp;"_pkey PRIMARY KEY"</f>
        <v>ADD CONSTRAINT sny_202310_base_merge_mml_rd_byomei_pkey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milscm_2023_009.sny_202310_base_merge_mml_rd_byomei.facility_id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milscm_2023_009.sny_202310_base_merge_mml_rd_byomei.data_type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milscm_2023_009.sny_202310_base_merge_mml_rd_byomei.master_id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milscm_2023_009.sny_202310_base_merge_mml_rd_byomei.uid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1321</v>
      </c>
      <c r="D21" s="13" t="s">
        <v>1322</v>
      </c>
      <c r="E21" s="7" t="s">
        <v>127</v>
      </c>
      <c r="F21" s="7" t="s">
        <v>204</v>
      </c>
      <c r="G21" s="7" t="str">
        <f t="shared" si="3"/>
        <v>integer</v>
      </c>
      <c r="H21" s="58"/>
      <c r="I21" s="23" t="s">
        <v>127</v>
      </c>
      <c r="J21" s="24" t="s">
        <v>1329</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1323</v>
      </c>
      <c r="D22" s="13" t="s">
        <v>1324</v>
      </c>
      <c r="E22" s="7"/>
      <c r="F22" s="7" t="s">
        <v>865</v>
      </c>
      <c r="G22" s="7" t="str">
        <f t="shared" si="3"/>
        <v>text</v>
      </c>
      <c r="H22" s="58"/>
      <c r="I22" s="23"/>
      <c r="J22" s="24" t="s">
        <v>1330</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milscm_2023_009.sny_202310_base_merge_mml_rd_byomei.byomei IS '病名';</v>
      </c>
    </row>
    <row r="23" spans="1:52" s="25" customFormat="1">
      <c r="A23" s="4"/>
      <c r="B23" s="21">
        <f t="shared" si="2"/>
        <v>11</v>
      </c>
      <c r="C23" s="13" t="s">
        <v>1325</v>
      </c>
      <c r="D23" s="13" t="s">
        <v>1326</v>
      </c>
      <c r="E23" s="7"/>
      <c r="F23" s="7" t="s">
        <v>865</v>
      </c>
      <c r="G23" s="7" t="str">
        <f t="shared" si="3"/>
        <v>text</v>
      </c>
      <c r="H23" s="58"/>
      <c r="I23" s="23"/>
      <c r="J23" s="24" t="s">
        <v>1331</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milscm_2023_009.sny_202310_base_merge_mml_rd_byomei.byomei_code IS '病名コード値';</v>
      </c>
    </row>
    <row r="24" spans="1:52" s="25" customFormat="1" ht="19.5" thickBot="1">
      <c r="A24" s="4"/>
      <c r="B24" s="27">
        <f>ROW()-12</f>
        <v>12</v>
      </c>
      <c r="C24" s="57" t="s">
        <v>1327</v>
      </c>
      <c r="D24" s="57" t="s">
        <v>1328</v>
      </c>
      <c r="E24" s="56"/>
      <c r="F24" s="56" t="s">
        <v>865</v>
      </c>
      <c r="G24" s="56" t="str">
        <f t="shared" si="3"/>
        <v>text</v>
      </c>
      <c r="H24" s="59"/>
      <c r="I24" s="60"/>
      <c r="J24" s="64" t="s">
        <v>1332</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ENT_31_C4-06</v>
      </c>
      <c r="E6" s="240"/>
      <c r="F6" s="240"/>
      <c r="G6" s="240"/>
      <c r="H6" s="240"/>
      <c r="I6" s="240"/>
      <c r="J6" s="241"/>
    </row>
    <row r="7" spans="1:45">
      <c r="B7" s="229" t="s">
        <v>115</v>
      </c>
      <c r="C7" s="230"/>
      <c r="D7" s="231" t="s">
        <v>3680</v>
      </c>
      <c r="E7" s="232"/>
      <c r="F7" s="232"/>
      <c r="G7" s="232"/>
      <c r="H7" s="232"/>
      <c r="I7" s="232"/>
      <c r="J7" s="233"/>
    </row>
    <row r="8" spans="1:45">
      <c r="B8" s="229" t="s">
        <v>116</v>
      </c>
      <c r="C8" s="230"/>
      <c r="D8" s="231" t="str">
        <f>エンティティ一覧!AE2&amp;"_"&amp;D5&amp;"_merge_mml_pc_progress_course"</f>
        <v>sny_202310_base_merge_mml_pc_progress_course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milscm_2023_009.sny_202310_base_merge_mml_pc_progress_course;</v>
      </c>
      <c r="O10" s="76"/>
      <c r="P10" s="76"/>
      <c r="Q10" s="76"/>
      <c r="R10" s="76"/>
      <c r="S10" s="76"/>
      <c r="T10" s="76"/>
      <c r="AJ10" s="76" t="str">
        <f>"ALTER TABLE ONLY "&amp;エンティティ一覧!$O$2&amp;"."&amp;D$8</f>
        <v>ALTER TABLE ONLY milscm_2023_009.sny_202310_base_merge_mml_pc_progress_course</v>
      </c>
      <c r="AS10" s="76" t="str">
        <f>"ALTER TABLE "&amp;エンティティ一覧!$O$2&amp;"."&amp;D$8&amp;" OWNER TO pgmisgrp1;"</f>
        <v>ALTER TABLE milscm_2023_009.sny_202310_base_merge_mml_pc_progress_course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milscm_2023_009.sny_202310_base_merge_mml_pc_progress_course</v>
      </c>
      <c r="O11" s="76"/>
      <c r="P11" s="76"/>
      <c r="Q11" s="76"/>
      <c r="R11" s="76"/>
      <c r="S11" s="76"/>
      <c r="T11" s="76"/>
      <c r="AJ11" s="76" t="str">
        <f>"ADD CONSTRAINT "&amp;D$8&amp;"_pkey PRIMARY KEY"</f>
        <v>ADD CONSTRAINT sny_202310_base_merge_mml_pc_progress_course_pkey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1284</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milscm_2023_009.sny_202310_base_merge_mml_pc_progress_course.facility_id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milscm_2023_009.sny_202310_base_merge_mml_pc_progress_course.data_type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milscm_2023_009.sny_202310_base_merge_mml_pc_progress_course.master_id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milscm_2023_009.sny_202310_base_merge_mml_pc_progress_course.uid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milscm_2023_009.sny_202310_base_merge_mml_pc_progress_course.keika_seq IS '経過記録SEQ';</v>
      </c>
    </row>
    <row r="21" spans="1:52" s="25" customFormat="1" ht="38.25" thickBot="1">
      <c r="A21" s="4"/>
      <c r="B21" s="27">
        <f>ROW()-12</f>
        <v>9</v>
      </c>
      <c r="C21" s="57" t="s">
        <v>1348</v>
      </c>
      <c r="D21" s="57" t="s">
        <v>1349</v>
      </c>
      <c r="E21" s="56"/>
      <c r="F21" s="56" t="s">
        <v>865</v>
      </c>
      <c r="G21" s="56" t="str">
        <f t="shared" si="3"/>
        <v>text</v>
      </c>
      <c r="H21" s="59"/>
      <c r="I21" s="60"/>
      <c r="J21" s="64" t="s">
        <v>1351</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ENT_31_C4-07</v>
      </c>
      <c r="E6" s="240"/>
      <c r="F6" s="240"/>
      <c r="G6" s="240"/>
      <c r="H6" s="240"/>
      <c r="I6" s="240"/>
      <c r="J6" s="241"/>
    </row>
    <row r="7" spans="1:45">
      <c r="B7" s="229" t="s">
        <v>115</v>
      </c>
      <c r="C7" s="230"/>
      <c r="D7" s="231" t="s">
        <v>3681</v>
      </c>
      <c r="E7" s="232"/>
      <c r="F7" s="232"/>
      <c r="G7" s="232"/>
      <c r="H7" s="232"/>
      <c r="I7" s="232"/>
      <c r="J7" s="233"/>
    </row>
    <row r="8" spans="1:45">
      <c r="B8" s="229" t="s">
        <v>116</v>
      </c>
      <c r="C8" s="230"/>
      <c r="D8" s="231" t="str">
        <f>エンティティ一覧!AE2&amp;"_"&amp;D5&amp;"_merge_mml_pc_problem"</f>
        <v>sny_202310_base_merge_mml_pc_problem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milscm_2023_009.sny_202310_base_merge_mml_pc_problem;</v>
      </c>
      <c r="O10" s="76"/>
      <c r="P10" s="76"/>
      <c r="Q10" s="76"/>
      <c r="R10" s="76"/>
      <c r="S10" s="76"/>
      <c r="T10" s="76"/>
      <c r="AJ10" s="76" t="str">
        <f>"ALTER TABLE ONLY "&amp;エンティティ一覧!$O$2&amp;"."&amp;D$8</f>
        <v>ALTER TABLE ONLY milscm_2023_009.sny_202310_base_merge_mml_pc_problem</v>
      </c>
      <c r="AS10" s="76" t="str">
        <f>"ALTER TABLE "&amp;エンティティ一覧!$O$2&amp;"."&amp;D$8&amp;" OWNER TO pgmisgrp1;"</f>
        <v>ALTER TABLE milscm_2023_009.sny_202310_base_merge_mml_pc_problem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milscm_2023_009.sny_202310_base_merge_mml_pc_problem</v>
      </c>
      <c r="O11" s="76"/>
      <c r="P11" s="76"/>
      <c r="Q11" s="76"/>
      <c r="R11" s="76"/>
      <c r="S11" s="76"/>
      <c r="T11" s="76"/>
      <c r="AJ11" s="76" t="str">
        <f>"ADD CONSTRAINT "&amp;D$8&amp;"_pkey PRIMARY KEY"</f>
        <v>ADD CONSTRAINT sny_202310_base_merge_mml_pc_problem_pkey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milscm_2023_009.sny_202310_base_merge_mml_pc_problem.facility_id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milscm_2023_009.sny_202310_base_merge_mml_pc_problem.data_type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milscm_2023_009.sny_202310_base_merge_mml_pc_problem.master_id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milscm_2023_009.sny_202310_base_merge_mml_pc_problem.uid IS '文書ユニークID';</v>
      </c>
    </row>
    <row r="20" spans="1:45"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milscm_2023_009.sny_202310_base_merge_mml_pc_problem.problem_seq IS 'プロブレムSEQ';</v>
      </c>
    </row>
    <row r="22" spans="1:45" s="25" customFormat="1" ht="37.5">
      <c r="A22" s="4"/>
      <c r="B22" s="21">
        <f t="shared" si="2"/>
        <v>10</v>
      </c>
      <c r="C22" s="13" t="s">
        <v>1356</v>
      </c>
      <c r="D22" s="13" t="s">
        <v>1357</v>
      </c>
      <c r="E22" s="7"/>
      <c r="F22" s="7" t="s">
        <v>865</v>
      </c>
      <c r="G22" s="7" t="str">
        <f t="shared" si="3"/>
        <v>text</v>
      </c>
      <c r="H22" s="58"/>
      <c r="I22" s="23"/>
      <c r="J22" s="24" t="s">
        <v>1379</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milscm_2023_009.sny_202310_base_merge_mml_pc_problem.problem_shippei_name IS 'プロブレム名（疾病名）';</v>
      </c>
    </row>
    <row r="23" spans="1:45" s="25" customFormat="1" ht="56.25">
      <c r="A23" s="4"/>
      <c r="B23" s="21">
        <f t="shared" si="2"/>
        <v>11</v>
      </c>
      <c r="C23" s="13" t="s">
        <v>1358</v>
      </c>
      <c r="D23" s="13" t="s">
        <v>1359</v>
      </c>
      <c r="E23" s="7"/>
      <c r="F23" s="7" t="s">
        <v>865</v>
      </c>
      <c r="G23" s="7" t="str">
        <f t="shared" si="3"/>
        <v>text</v>
      </c>
      <c r="H23" s="58"/>
      <c r="I23" s="23"/>
      <c r="J23" s="24" t="s">
        <v>1380</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milscm_2023_009.sny_202310_base_merge_mml_pc_problem.shindan_name_uid IS '診断名のuid';</v>
      </c>
    </row>
    <row r="24" spans="1:45" s="25" customFormat="1" ht="37.5">
      <c r="A24" s="4"/>
      <c r="B24" s="21">
        <f t="shared" si="2"/>
        <v>12</v>
      </c>
      <c r="C24" s="13" t="s">
        <v>1360</v>
      </c>
      <c r="D24" s="13" t="s">
        <v>1361</v>
      </c>
      <c r="E24" s="7"/>
      <c r="F24" s="7" t="s">
        <v>865</v>
      </c>
      <c r="G24" s="7" t="str">
        <f t="shared" si="3"/>
        <v>text</v>
      </c>
      <c r="H24" s="58"/>
      <c r="I24" s="23"/>
      <c r="J24" s="24" t="s">
        <v>1381</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milscm_2023_009.sny_202310_base_merge_mml_pc_problem.free_note IS '自由文章表現';</v>
      </c>
    </row>
    <row r="25" spans="1:45" s="25" customFormat="1" ht="37.5">
      <c r="A25" s="4"/>
      <c r="B25" s="21">
        <f t="shared" si="2"/>
        <v>13</v>
      </c>
      <c r="C25" s="13" t="s">
        <v>1362</v>
      </c>
      <c r="D25" s="13" t="s">
        <v>1363</v>
      </c>
      <c r="E25" s="7"/>
      <c r="F25" s="7" t="s">
        <v>865</v>
      </c>
      <c r="G25" s="7" t="str">
        <f t="shared" si="3"/>
        <v>text</v>
      </c>
      <c r="H25" s="58"/>
      <c r="I25" s="23"/>
      <c r="J25" s="24" t="s">
        <v>1382</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milscm_2023_009.sny_202310_base_merge_mml_pc_problem.free_expression_objective IS '客観的自由記載';</v>
      </c>
    </row>
    <row r="26" spans="1:45" s="25" customFormat="1" ht="37.5">
      <c r="A26" s="4"/>
      <c r="B26" s="21">
        <f t="shared" si="2"/>
        <v>14</v>
      </c>
      <c r="C26" s="13" t="s">
        <v>1364</v>
      </c>
      <c r="D26" s="13" t="s">
        <v>1365</v>
      </c>
      <c r="E26" s="7"/>
      <c r="F26" s="7" t="s">
        <v>865</v>
      </c>
      <c r="G26" s="7" t="str">
        <f t="shared" si="3"/>
        <v>text</v>
      </c>
      <c r="H26" s="58"/>
      <c r="I26" s="23"/>
      <c r="J26" s="24" t="s">
        <v>1383</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milscm_2023_009.sny_202310_base_merge_mml_pc_problem.test_result IS '検査結果';</v>
      </c>
    </row>
    <row r="27" spans="1:45" s="25" customFormat="1" ht="37.5">
      <c r="A27" s="4"/>
      <c r="B27" s="21">
        <f t="shared" si="2"/>
        <v>15</v>
      </c>
      <c r="C27" s="13" t="s">
        <v>1366</v>
      </c>
      <c r="D27" s="13" t="s">
        <v>1367</v>
      </c>
      <c r="E27" s="7"/>
      <c r="F27" s="7" t="s">
        <v>865</v>
      </c>
      <c r="G27" s="7" t="str">
        <f t="shared" si="3"/>
        <v>text</v>
      </c>
      <c r="H27" s="58"/>
      <c r="I27" s="23"/>
      <c r="J27" s="24" t="s">
        <v>1384</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milscm_2023_009.sny_202310_base_merge_mml_pc_problem.shohou_jisshi_kiroku IS '処方実施記録';</v>
      </c>
    </row>
    <row r="28" spans="1:45" s="25" customFormat="1" ht="37.5">
      <c r="A28" s="4"/>
      <c r="B28" s="21">
        <f t="shared" si="2"/>
        <v>16</v>
      </c>
      <c r="C28" s="13" t="s">
        <v>1368</v>
      </c>
      <c r="D28" s="13" t="s">
        <v>1369</v>
      </c>
      <c r="E28" s="7"/>
      <c r="F28" s="7" t="s">
        <v>865</v>
      </c>
      <c r="G28" s="7" t="str">
        <f t="shared" si="3"/>
        <v>text</v>
      </c>
      <c r="H28" s="58"/>
      <c r="I28" s="23"/>
      <c r="J28" s="24" t="s">
        <v>1385</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milscm_2023_009.sny_202310_base_merge_mml_pc_problem.shochi_jisshi_kiroku IS '処置実施記録';</v>
      </c>
    </row>
    <row r="29" spans="1:45" s="25" customFormat="1" ht="37.5">
      <c r="A29" s="4"/>
      <c r="B29" s="21">
        <f t="shared" si="2"/>
        <v>17</v>
      </c>
      <c r="C29" s="13" t="s">
        <v>1370</v>
      </c>
      <c r="D29" s="13" t="s">
        <v>1371</v>
      </c>
      <c r="E29" s="7"/>
      <c r="F29" s="7" t="s">
        <v>865</v>
      </c>
      <c r="G29" s="7" t="str">
        <f t="shared" si="3"/>
        <v>text</v>
      </c>
      <c r="H29" s="58"/>
      <c r="I29" s="23"/>
      <c r="J29" s="24" t="s">
        <v>1386</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milscm_2023_009.sny_202310_base_merge_mml_pc_problem.kensa_order IS '検査オーダー';</v>
      </c>
    </row>
    <row r="30" spans="1:45" s="25" customFormat="1" ht="37.5">
      <c r="A30" s="4"/>
      <c r="B30" s="21">
        <f t="shared" si="2"/>
        <v>18</v>
      </c>
      <c r="C30" s="13" t="s">
        <v>1372</v>
      </c>
      <c r="D30" s="13" t="s">
        <v>1373</v>
      </c>
      <c r="E30" s="7"/>
      <c r="F30" s="7" t="s">
        <v>865</v>
      </c>
      <c r="G30" s="7" t="str">
        <f t="shared" si="3"/>
        <v>text</v>
      </c>
      <c r="H30" s="58"/>
      <c r="I30" s="23"/>
      <c r="J30" s="24" t="s">
        <v>1387</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milscm_2023_009.sny_202310_base_merge_mml_pc_problem.shohou_order IS '処方オーダー';</v>
      </c>
    </row>
    <row r="31" spans="1:45" s="25" customFormat="1" ht="37.5">
      <c r="A31" s="4"/>
      <c r="B31" s="21">
        <f t="shared" si="2"/>
        <v>19</v>
      </c>
      <c r="C31" s="13" t="s">
        <v>1374</v>
      </c>
      <c r="D31" s="13" t="s">
        <v>1375</v>
      </c>
      <c r="E31" s="7"/>
      <c r="F31" s="7" t="s">
        <v>865</v>
      </c>
      <c r="G31" s="7" t="str">
        <f t="shared" si="3"/>
        <v>text</v>
      </c>
      <c r="H31" s="58"/>
      <c r="I31" s="23"/>
      <c r="J31" s="24" t="s">
        <v>1388</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milscm_2023_009.sny_202310_base_merge_mml_pc_problem.chiryo_order IS '治療処置オーダー';</v>
      </c>
    </row>
    <row r="32" spans="1:45" s="25" customFormat="1" ht="38.25" thickBot="1">
      <c r="A32" s="4"/>
      <c r="B32" s="27">
        <f>ROW()-12</f>
        <v>20</v>
      </c>
      <c r="C32" s="57" t="s">
        <v>1376</v>
      </c>
      <c r="D32" s="57" t="s">
        <v>1377</v>
      </c>
      <c r="E32" s="56"/>
      <c r="F32" s="56" t="s">
        <v>865</v>
      </c>
      <c r="G32" s="56" t="str">
        <f t="shared" si="3"/>
        <v>text</v>
      </c>
      <c r="H32" s="59"/>
      <c r="I32" s="60"/>
      <c r="J32" s="64" t="s">
        <v>1389</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ENT_31_C4-08</v>
      </c>
      <c r="E6" s="240"/>
      <c r="F6" s="240"/>
      <c r="G6" s="240"/>
      <c r="H6" s="240"/>
      <c r="I6" s="240"/>
      <c r="J6" s="241"/>
    </row>
    <row r="7" spans="1:45">
      <c r="B7" s="229" t="s">
        <v>115</v>
      </c>
      <c r="C7" s="230"/>
      <c r="D7" s="231" t="s">
        <v>3682</v>
      </c>
      <c r="E7" s="232"/>
      <c r="F7" s="232"/>
      <c r="G7" s="232"/>
      <c r="H7" s="232"/>
      <c r="I7" s="232"/>
      <c r="J7" s="233"/>
    </row>
    <row r="8" spans="1:45">
      <c r="B8" s="229" t="s">
        <v>116</v>
      </c>
      <c r="C8" s="230"/>
      <c r="D8" s="231" t="str">
        <f>エンティティ一覧!AE2&amp;"_"&amp;D5&amp;"_merge_mml_pc_physical_exam"</f>
        <v>sny_202310_base_merge_mml_pc_physical_exam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milscm_2023_009.sny_202310_base_merge_mml_pc_physical_exam;</v>
      </c>
      <c r="O10" s="76"/>
      <c r="P10" s="76"/>
      <c r="Q10" s="76"/>
      <c r="R10" s="76"/>
      <c r="S10" s="76"/>
      <c r="T10" s="76"/>
      <c r="AJ10" s="76" t="str">
        <f>"ALTER TABLE ONLY "&amp;エンティティ一覧!$O$2&amp;"."&amp;D$8</f>
        <v>ALTER TABLE ONLY milscm_2023_009.sny_202310_base_merge_mml_pc_physical_exam</v>
      </c>
      <c r="AS10" s="76" t="str">
        <f>"ALTER TABLE "&amp;エンティティ一覧!$O$2&amp;"."&amp;D$8&amp;" OWNER TO pgmisgrp1;"</f>
        <v>ALTER TABLE milscm_2023_009.sny_202310_base_merge_mml_pc_physical_exam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milscm_2023_009.sny_202310_base_merge_mml_pc_physical_exam</v>
      </c>
      <c r="O11" s="76"/>
      <c r="P11" s="76"/>
      <c r="Q11" s="76"/>
      <c r="R11" s="76"/>
      <c r="S11" s="76"/>
      <c r="T11" s="76"/>
      <c r="AJ11" s="76" t="str">
        <f>"ADD CONSTRAINT "&amp;D$8&amp;"_pkey PRIMARY KEY"</f>
        <v>ADD CONSTRAINT sny_202310_base_merge_mml_pc_physical_exam_pkey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milscm_2023_009.sny_202310_base_merge_mml_pc_physical_exam.facility_id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milscm_2023_009.sny_202310_base_merge_mml_pc_physical_exam.data_type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milscm_2023_009.sny_202310_base_merge_mml_pc_physical_exam.master_id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milscm_2023_009.sny_202310_base_merge_mml_pc_physical_exam.uid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1392</v>
      </c>
      <c r="D22" s="13" t="s">
        <v>1393</v>
      </c>
      <c r="E22" s="7" t="s">
        <v>127</v>
      </c>
      <c r="F22" s="7" t="s">
        <v>204</v>
      </c>
      <c r="G22" s="7" t="str">
        <f t="shared" si="3"/>
        <v>integer</v>
      </c>
      <c r="H22" s="58"/>
      <c r="I22" s="23" t="s">
        <v>127</v>
      </c>
      <c r="J22" s="24" t="s">
        <v>1400</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1394</v>
      </c>
      <c r="D23" s="13" t="s">
        <v>1395</v>
      </c>
      <c r="E23" s="7"/>
      <c r="F23" s="7" t="s">
        <v>865</v>
      </c>
      <c r="G23" s="7" t="str">
        <f t="shared" si="3"/>
        <v>text</v>
      </c>
      <c r="H23" s="58"/>
      <c r="I23" s="23"/>
      <c r="J23" s="24" t="s">
        <v>1401</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1396</v>
      </c>
      <c r="D24" s="13" t="s">
        <v>1397</v>
      </c>
      <c r="E24" s="7"/>
      <c r="F24" s="7" t="s">
        <v>865</v>
      </c>
      <c r="G24" s="7" t="str">
        <f t="shared" si="3"/>
        <v>text</v>
      </c>
      <c r="H24" s="58"/>
      <c r="I24" s="23"/>
      <c r="J24" s="24" t="s">
        <v>1402</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milscm_2023_009.sny_202310_base_merge_mml_pc_physical_exam.syoken_value IS '身体所見結果';</v>
      </c>
    </row>
    <row r="25" spans="1:52" s="25" customFormat="1" ht="38.25" thickBot="1">
      <c r="A25" s="4"/>
      <c r="B25" s="27">
        <f>ROW()-12</f>
        <v>13</v>
      </c>
      <c r="C25" s="57" t="s">
        <v>1398</v>
      </c>
      <c r="D25" s="57" t="s">
        <v>1399</v>
      </c>
      <c r="E25" s="56"/>
      <c r="F25" s="56" t="s">
        <v>865</v>
      </c>
      <c r="G25" s="56" t="str">
        <f t="shared" si="3"/>
        <v>text</v>
      </c>
      <c r="H25" s="59"/>
      <c r="I25" s="60"/>
      <c r="J25" s="64" t="s">
        <v>1403</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ENT_31_C4-15</v>
      </c>
      <c r="E6" s="240"/>
      <c r="F6" s="240"/>
      <c r="G6" s="240"/>
      <c r="H6" s="240"/>
      <c r="I6" s="240"/>
      <c r="J6" s="241"/>
    </row>
    <row r="7" spans="1:45">
      <c r="B7" s="229" t="s">
        <v>115</v>
      </c>
      <c r="C7" s="230"/>
      <c r="D7" s="231" t="s">
        <v>3683</v>
      </c>
      <c r="E7" s="232"/>
      <c r="F7" s="232"/>
      <c r="G7" s="232"/>
      <c r="H7" s="232"/>
      <c r="I7" s="232"/>
      <c r="J7" s="233"/>
    </row>
    <row r="8" spans="1:45">
      <c r="B8" s="229" t="s">
        <v>116</v>
      </c>
      <c r="C8" s="230"/>
      <c r="D8" s="231" t="str">
        <f>エンティティ一覧!AE2&amp;"_"&amp;D5&amp;"_merge_mml_pc_assessment"</f>
        <v>sny_202310_base_merge_mml_pc_assessment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milscm_2023_009.sny_202310_base_merge_mml_pc_assessment;</v>
      </c>
      <c r="O10" s="76"/>
      <c r="P10" s="76"/>
      <c r="Q10" s="76"/>
      <c r="R10" s="76"/>
      <c r="S10" s="76"/>
      <c r="T10" s="76"/>
      <c r="AJ10" s="76" t="str">
        <f>"ALTER TABLE ONLY "&amp;エンティティ一覧!$O$2&amp;"."&amp;D$8</f>
        <v>ALTER TABLE ONLY milscm_2023_009.sny_202310_base_merge_mml_pc_assessment</v>
      </c>
      <c r="AS10" s="76" t="str">
        <f>"ALTER TABLE "&amp;エンティティ一覧!$O$2&amp;"."&amp;D$8&amp;" OWNER TO pgmisgrp1;"</f>
        <v>ALTER TABLE milscm_2023_009.sny_202310_base_merge_mml_pc_assessment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milscm_2023_009.sny_202310_base_merge_mml_pc_assessment</v>
      </c>
      <c r="O11" s="76"/>
      <c r="P11" s="76"/>
      <c r="Q11" s="76"/>
      <c r="R11" s="76"/>
      <c r="S11" s="76"/>
      <c r="T11" s="76"/>
      <c r="AJ11" s="76" t="str">
        <f>"ADD CONSTRAINT "&amp;D$8&amp;"_pkey PRIMARY KEY"</f>
        <v>ADD CONSTRAINT sny_202310_base_merge_mml_pc_assessment_pkey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milscm_2023_009.sny_202310_base_merge_mml_pc_assessment.facility_id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milscm_2023_009.sny_202310_base_merge_mml_pc_assessment.data_type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milscm_2023_009.sny_202310_base_merge_mml_pc_assessment.master_id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milscm_2023_009.sny_202310_base_merge_mml_pc_assessment.uid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1406</v>
      </c>
      <c r="D22" s="13" t="s">
        <v>1407</v>
      </c>
      <c r="E22" s="7" t="s">
        <v>127</v>
      </c>
      <c r="F22" s="7" t="s">
        <v>204</v>
      </c>
      <c r="G22" s="7" t="str">
        <f t="shared" si="3"/>
        <v>integer</v>
      </c>
      <c r="H22" s="58"/>
      <c r="I22" s="23" t="s">
        <v>127</v>
      </c>
      <c r="J22" s="24" t="s">
        <v>1410</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milscm_2023_009.sny_202310_base_merge_mml_pc_assessment.assessment_item_seq IS 'アセスメントSEQ';</v>
      </c>
    </row>
    <row r="23" spans="1:52" s="25" customFormat="1" ht="38.25" thickBot="1">
      <c r="A23" s="4"/>
      <c r="B23" s="27">
        <f>ROW()-12</f>
        <v>11</v>
      </c>
      <c r="C23" s="57" t="s">
        <v>1408</v>
      </c>
      <c r="D23" s="57" t="s">
        <v>1409</v>
      </c>
      <c r="E23" s="56"/>
      <c r="F23" s="56" t="s">
        <v>865</v>
      </c>
      <c r="G23" s="56" t="str">
        <f t="shared" si="3"/>
        <v>text</v>
      </c>
      <c r="H23" s="59"/>
      <c r="I23" s="60"/>
      <c r="J23" s="64" t="s">
        <v>1411</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ENT_31_C4-22</v>
      </c>
      <c r="E6" s="240"/>
      <c r="F6" s="240"/>
      <c r="G6" s="240"/>
      <c r="H6" s="240"/>
      <c r="I6" s="240"/>
      <c r="J6" s="241"/>
    </row>
    <row r="7" spans="1:45">
      <c r="B7" s="229" t="s">
        <v>115</v>
      </c>
      <c r="C7" s="230"/>
      <c r="D7" s="231" t="s">
        <v>3684</v>
      </c>
      <c r="E7" s="232"/>
      <c r="F7" s="232"/>
      <c r="G7" s="232"/>
      <c r="H7" s="232"/>
      <c r="I7" s="232"/>
      <c r="J7" s="233"/>
    </row>
    <row r="8" spans="1:45">
      <c r="B8" s="229" t="s">
        <v>116</v>
      </c>
      <c r="C8" s="230"/>
      <c r="D8" s="231" t="str">
        <f>エンティティ一覧!AE2&amp;"_"&amp;D5&amp;"_merge_mml_pc_external_reference"</f>
        <v>sny_202310_base_merge_mml_pc_external_reference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milscm_2023_009.sny_202310_base_merge_mml_pc_external_reference;</v>
      </c>
      <c r="O10" s="76"/>
      <c r="P10" s="76"/>
      <c r="Q10" s="76"/>
      <c r="R10" s="76"/>
      <c r="S10" s="76"/>
      <c r="T10" s="76"/>
      <c r="AJ10" s="76" t="str">
        <f>"ALTER TABLE ONLY "&amp;エンティティ一覧!$O$2&amp;"."&amp;D$8</f>
        <v>ALTER TABLE ONLY milscm_2023_009.sny_202310_base_merge_mml_pc_external_reference</v>
      </c>
      <c r="AS10" s="76" t="str">
        <f>"ALTER TABLE "&amp;エンティティ一覧!$O$2&amp;"."&amp;D$8&amp;" OWNER TO pgmisgrp1;"</f>
        <v>ALTER TABLE milscm_2023_009.sny_202310_base_merge_mml_pc_external_reference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milscm_2023_009.sny_202310_base_merge_mml_pc_external_reference</v>
      </c>
      <c r="O11" s="76"/>
      <c r="P11" s="76"/>
      <c r="Q11" s="76"/>
      <c r="R11" s="76"/>
      <c r="S11" s="76"/>
      <c r="T11" s="76"/>
      <c r="AJ11" s="76" t="str">
        <f>"ADD CONSTRAINT "&amp;D$8&amp;"_pkey PRIMARY KEY"</f>
        <v>ADD CONSTRAINT sny_202310_base_merge_mml_pc_external_reference_pkey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1284</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milscm_2023_009.sny_202310_base_merge_mml_pc_external_reference.facility_id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milscm_2023_009.sny_202310_base_merge_mml_pc_external_reference.data_type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milscm_2023_009.sny_202310_base_merge_mml_pc_external_reference.master_id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milscm_2023_009.sny_202310_base_merge_mml_pc_external_reference.uid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milscm_2023_009.sny_202310_base_merge_mml_pc_external_reference.keika_seq IS '経過記録SEQ';</v>
      </c>
    </row>
    <row r="21" spans="1:52" s="25" customFormat="1" ht="187.5">
      <c r="A21" s="4"/>
      <c r="B21" s="21">
        <f t="shared" si="2"/>
        <v>9</v>
      </c>
      <c r="C21" s="13" t="s">
        <v>1414</v>
      </c>
      <c r="D21" s="13" t="s">
        <v>1415</v>
      </c>
      <c r="E21" s="7" t="s">
        <v>127</v>
      </c>
      <c r="F21" s="7" t="s">
        <v>865</v>
      </c>
      <c r="G21" s="7" t="str">
        <f t="shared" si="3"/>
        <v>text</v>
      </c>
      <c r="H21" s="58"/>
      <c r="I21" s="23" t="s">
        <v>127</v>
      </c>
      <c r="J21" s="24" t="s">
        <v>1428</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1416</v>
      </c>
      <c r="D22" s="13" t="s">
        <v>1417</v>
      </c>
      <c r="E22" s="7" t="s">
        <v>127</v>
      </c>
      <c r="F22" s="7" t="s">
        <v>204</v>
      </c>
      <c r="G22" s="7" t="str">
        <f t="shared" si="3"/>
        <v>integer</v>
      </c>
      <c r="H22" s="58"/>
      <c r="I22" s="23" t="s">
        <v>127</v>
      </c>
      <c r="J22" s="24" t="s">
        <v>1429</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1418</v>
      </c>
      <c r="D23" s="13" t="s">
        <v>1419</v>
      </c>
      <c r="E23" s="7"/>
      <c r="F23" s="7" t="s">
        <v>865</v>
      </c>
      <c r="G23" s="7" t="str">
        <f t="shared" si="3"/>
        <v>text</v>
      </c>
      <c r="H23" s="58"/>
      <c r="I23" s="23"/>
      <c r="J23" s="24" t="s">
        <v>1430</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milscm_2023_009.sny_202310_base_merge_mml_pc_external_reference.content_type IS 'コンテンツ種別';</v>
      </c>
    </row>
    <row r="24" spans="1:52" s="25" customFormat="1" ht="37.5">
      <c r="A24" s="4"/>
      <c r="B24" s="21">
        <f t="shared" si="2"/>
        <v>12</v>
      </c>
      <c r="C24" s="13" t="s">
        <v>1420</v>
      </c>
      <c r="D24" s="13" t="s">
        <v>1421</v>
      </c>
      <c r="E24" s="7"/>
      <c r="F24" s="7" t="s">
        <v>865</v>
      </c>
      <c r="G24" s="7" t="str">
        <f t="shared" si="3"/>
        <v>text</v>
      </c>
      <c r="H24" s="58"/>
      <c r="I24" s="23"/>
      <c r="J24" s="24" t="s">
        <v>1431</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1422</v>
      </c>
      <c r="D25" s="13" t="s">
        <v>1423</v>
      </c>
      <c r="E25" s="7"/>
      <c r="F25" s="7" t="s">
        <v>865</v>
      </c>
      <c r="G25" s="7" t="str">
        <f t="shared" si="3"/>
        <v>text</v>
      </c>
      <c r="H25" s="58"/>
      <c r="I25" s="23"/>
      <c r="J25" s="24" t="s">
        <v>1432</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1424</v>
      </c>
      <c r="D26" s="13" t="s">
        <v>1425</v>
      </c>
      <c r="E26" s="7"/>
      <c r="F26" s="7" t="s">
        <v>865</v>
      </c>
      <c r="G26" s="7" t="str">
        <f t="shared" si="3"/>
        <v>text</v>
      </c>
      <c r="H26" s="58"/>
      <c r="I26" s="23"/>
      <c r="J26" s="24" t="s">
        <v>1433</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milscm_2023_009.sny_202310_base_merge_mml_pc_external_reference.gaibu_sansyo_saki IS '外部参照先';</v>
      </c>
    </row>
    <row r="27" spans="1:52" s="25" customFormat="1" ht="19.5" thickBot="1">
      <c r="A27" s="4"/>
      <c r="B27" s="27">
        <f>ROW()-12</f>
        <v>15</v>
      </c>
      <c r="C27" s="57" t="s">
        <v>1426</v>
      </c>
      <c r="D27" s="57" t="s">
        <v>1427</v>
      </c>
      <c r="E27" s="56"/>
      <c r="F27" s="56" t="s">
        <v>865</v>
      </c>
      <c r="G27" s="56" t="str">
        <f t="shared" si="3"/>
        <v>text</v>
      </c>
      <c r="H27" s="59"/>
      <c r="I27" s="60"/>
      <c r="J27" s="64" t="s">
        <v>1434</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ENT_31_C4-23</v>
      </c>
      <c r="E6" s="240"/>
      <c r="F6" s="240"/>
      <c r="G6" s="240"/>
      <c r="H6" s="240"/>
      <c r="I6" s="240"/>
      <c r="J6" s="241"/>
    </row>
    <row r="7" spans="1:45">
      <c r="B7" s="229" t="s">
        <v>115</v>
      </c>
      <c r="C7" s="230"/>
      <c r="D7" s="231" t="s">
        <v>3685</v>
      </c>
      <c r="E7" s="232"/>
      <c r="F7" s="232"/>
      <c r="G7" s="232"/>
      <c r="H7" s="232"/>
      <c r="I7" s="232"/>
      <c r="J7" s="233"/>
    </row>
    <row r="8" spans="1:45">
      <c r="B8" s="229" t="s">
        <v>116</v>
      </c>
      <c r="C8" s="230"/>
      <c r="D8" s="231" t="str">
        <f>エンティティ一覧!AE2&amp;"_"&amp;D5&amp;"_merge_mml_sm_summary"</f>
        <v>sny_202310_base_merge_mml_sm_summary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milscm_2023_009.sny_202310_base_merge_mml_sm_summary;</v>
      </c>
      <c r="O10" s="76"/>
      <c r="P10" s="76"/>
      <c r="Q10" s="76"/>
      <c r="R10" s="76"/>
      <c r="S10" s="76"/>
      <c r="T10" s="76"/>
      <c r="AJ10" s="76" t="str">
        <f>"ALTER TABLE ONLY "&amp;エンティティ一覧!$O$2&amp;"."&amp;D$8</f>
        <v>ALTER TABLE ONLY milscm_2023_009.sny_202310_base_merge_mml_sm_summary</v>
      </c>
      <c r="AS10" s="76" t="str">
        <f>"ALTER TABLE "&amp;エンティティ一覧!$O$2&amp;"."&amp;D$8&amp;" OWNER TO pgmisgrp1;"</f>
        <v>ALTER TABLE milscm_2023_009.sny_202310_base_merge_mml_sm_summary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milscm_2023_009.sny_202310_base_merge_mml_sm_summary</v>
      </c>
      <c r="O11" s="76"/>
      <c r="P11" s="76"/>
      <c r="Q11" s="76"/>
      <c r="R11" s="76"/>
      <c r="S11" s="76"/>
      <c r="T11" s="76"/>
      <c r="AJ11" s="76" t="str">
        <f>"ADD CONSTRAINT "&amp;D$8&amp;"_pkey PRIMARY KEY"</f>
        <v>ADD CONSTRAINT sny_202310_base_merge_mml_sm_summary_pkey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milscm_2023_009.sny_202310_base_merge_mml_sm_summary.facility_id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milscm_2023_009.sny_202310_base_merge_mml_sm_summary.data_type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milscm_2023_009.sny_202310_base_merge_mml_sm_summary.master_id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milscm_2023_009.sny_202310_base_merge_mml_sm_summary.summary_seq IS '臨床サマリーSEQ';</v>
      </c>
    </row>
    <row r="21" spans="1:45" s="25" customFormat="1" ht="37.5">
      <c r="A21" s="4"/>
      <c r="B21" s="21">
        <f t="shared" si="2"/>
        <v>9</v>
      </c>
      <c r="C21" s="13" t="s">
        <v>1439</v>
      </c>
      <c r="D21" s="13" t="s">
        <v>1440</v>
      </c>
      <c r="E21" s="7"/>
      <c r="F21" s="7" t="s">
        <v>865</v>
      </c>
      <c r="G21" s="7" t="str">
        <f t="shared" si="3"/>
        <v>text</v>
      </c>
      <c r="H21" s="58"/>
      <c r="I21" s="23"/>
      <c r="J21" s="24" t="s">
        <v>1464</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milscm_2023_009.sny_202310_base_merge_mml_sm_summary.history_start_ymd IS 'サマリー対象期間の開始日';</v>
      </c>
    </row>
    <row r="22" spans="1:45" s="25" customFormat="1" ht="37.5">
      <c r="A22" s="4"/>
      <c r="B22" s="21">
        <f t="shared" si="2"/>
        <v>10</v>
      </c>
      <c r="C22" s="13" t="s">
        <v>1441</v>
      </c>
      <c r="D22" s="13" t="s">
        <v>1442</v>
      </c>
      <c r="E22" s="7"/>
      <c r="F22" s="7" t="s">
        <v>865</v>
      </c>
      <c r="G22" s="7" t="str">
        <f t="shared" si="3"/>
        <v>text</v>
      </c>
      <c r="H22" s="58"/>
      <c r="I22" s="23"/>
      <c r="J22" s="24" t="s">
        <v>1465</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1443</v>
      </c>
      <c r="D23" s="13" t="s">
        <v>1444</v>
      </c>
      <c r="E23" s="7"/>
      <c r="F23" s="7" t="s">
        <v>865</v>
      </c>
      <c r="G23" s="7" t="str">
        <f t="shared" si="3"/>
        <v>text</v>
      </c>
      <c r="H23" s="58"/>
      <c r="I23" s="23"/>
      <c r="J23" s="24" t="s">
        <v>1466</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milscm_2023_009.sny_202310_base_merge_mml_sm_summary.death_info IS '死亡関連情報';</v>
      </c>
    </row>
    <row r="24" spans="1:45" s="25" customFormat="1" ht="37.5">
      <c r="A24" s="4"/>
      <c r="B24" s="21">
        <f t="shared" si="2"/>
        <v>12</v>
      </c>
      <c r="C24" s="13" t="s">
        <v>1282</v>
      </c>
      <c r="D24" s="13" t="s">
        <v>1283</v>
      </c>
      <c r="E24" s="7"/>
      <c r="F24" s="7" t="s">
        <v>865</v>
      </c>
      <c r="G24" s="7" t="str">
        <f t="shared" si="3"/>
        <v>text</v>
      </c>
      <c r="H24" s="58"/>
      <c r="I24" s="23"/>
      <c r="J24" s="24" t="s">
        <v>1467</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milscm_2023_009.sny_202310_base_merge_mml_sm_summary.death_date IS '死亡日時';</v>
      </c>
    </row>
    <row r="25" spans="1:45" s="25" customFormat="1" ht="37.5">
      <c r="A25" s="4"/>
      <c r="B25" s="21">
        <f t="shared" si="2"/>
        <v>13</v>
      </c>
      <c r="C25" s="13" t="s">
        <v>1445</v>
      </c>
      <c r="D25" s="13" t="s">
        <v>1446</v>
      </c>
      <c r="E25" s="7"/>
      <c r="F25" s="7" t="s">
        <v>865</v>
      </c>
      <c r="G25" s="7" t="str">
        <f t="shared" si="3"/>
        <v>text</v>
      </c>
      <c r="H25" s="58"/>
      <c r="I25" s="23"/>
      <c r="J25" s="24" t="s">
        <v>1468</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milscm_2023_009.sny_202310_base_merge_mml_sm_summary.death_autopsy_flag IS '剖検の有無';</v>
      </c>
    </row>
    <row r="26" spans="1:45" s="25" customFormat="1" ht="37.5">
      <c r="A26" s="4"/>
      <c r="B26" s="21">
        <f t="shared" si="2"/>
        <v>14</v>
      </c>
      <c r="C26" s="13" t="s">
        <v>1447</v>
      </c>
      <c r="D26" s="13" t="s">
        <v>1448</v>
      </c>
      <c r="E26" s="7"/>
      <c r="F26" s="7" t="s">
        <v>865</v>
      </c>
      <c r="G26" s="7" t="str">
        <f t="shared" si="3"/>
        <v>text</v>
      </c>
      <c r="H26" s="58"/>
      <c r="I26" s="23"/>
      <c r="J26" s="24" t="s">
        <v>1469</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milscm_2023_009.sny_202310_base_merge_mml_sm_summary.chief_complaints IS '主訴';</v>
      </c>
    </row>
    <row r="27" spans="1:45" s="25" customFormat="1" ht="37.5">
      <c r="A27" s="4"/>
      <c r="B27" s="21">
        <f t="shared" si="2"/>
        <v>15</v>
      </c>
      <c r="C27" s="13" t="s">
        <v>1449</v>
      </c>
      <c r="D27" s="13" t="s">
        <v>1450</v>
      </c>
      <c r="E27" s="7"/>
      <c r="F27" s="7" t="s">
        <v>865</v>
      </c>
      <c r="G27" s="7" t="str">
        <f t="shared" si="3"/>
        <v>text</v>
      </c>
      <c r="H27" s="58"/>
      <c r="I27" s="23"/>
      <c r="J27" s="24" t="s">
        <v>1470</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milscm_2023_009.sny_202310_base_merge_mml_sm_summary.patient_profile IS '患者プロフィール';</v>
      </c>
    </row>
    <row r="28" spans="1:45" s="25" customFormat="1" ht="37.5">
      <c r="A28" s="4"/>
      <c r="B28" s="21">
        <f t="shared" si="2"/>
        <v>16</v>
      </c>
      <c r="C28" s="13" t="s">
        <v>1451</v>
      </c>
      <c r="D28" s="13" t="s">
        <v>1452</v>
      </c>
      <c r="E28" s="7"/>
      <c r="F28" s="7" t="s">
        <v>865</v>
      </c>
      <c r="G28" s="7" t="str">
        <f t="shared" si="3"/>
        <v>text</v>
      </c>
      <c r="H28" s="58"/>
      <c r="I28" s="23"/>
      <c r="J28" s="24" t="s">
        <v>1471</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milscm_2023_009.sny_202310_base_merge_mml_sm_summary.nyuin_history IS '入院までの経過';</v>
      </c>
    </row>
    <row r="29" spans="1:45" s="25" customFormat="1" ht="37.5">
      <c r="A29" s="4"/>
      <c r="B29" s="21">
        <f t="shared" si="2"/>
        <v>17</v>
      </c>
      <c r="C29" s="13" t="s">
        <v>1453</v>
      </c>
      <c r="D29" s="13" t="s">
        <v>1454</v>
      </c>
      <c r="E29" s="7"/>
      <c r="F29" s="7" t="s">
        <v>865</v>
      </c>
      <c r="G29" s="7" t="str">
        <f t="shared" si="3"/>
        <v>text</v>
      </c>
      <c r="H29" s="58"/>
      <c r="I29" s="23"/>
      <c r="J29" s="24" t="s">
        <v>1472</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milscm_2023_009.sny_202310_base_merge_mml_sm_summary.nyuin_physical_exam IS '入院時理学所見';</v>
      </c>
    </row>
    <row r="30" spans="1:45" s="25" customFormat="1" ht="37.5">
      <c r="A30" s="4"/>
      <c r="B30" s="21">
        <f t="shared" si="2"/>
        <v>18</v>
      </c>
      <c r="C30" s="13" t="s">
        <v>1455</v>
      </c>
      <c r="D30" s="13" t="s">
        <v>1456</v>
      </c>
      <c r="E30" s="7"/>
      <c r="F30" s="7" t="s">
        <v>865</v>
      </c>
      <c r="G30" s="7" t="str">
        <f t="shared" si="3"/>
        <v>text</v>
      </c>
      <c r="H30" s="58"/>
      <c r="I30" s="23"/>
      <c r="J30" s="24" t="s">
        <v>1473</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milscm_2023_009.sny_202310_base_merge_mml_sm_summary.taiin_findings IS '退院時所見';</v>
      </c>
    </row>
    <row r="31" spans="1:45" s="25" customFormat="1" ht="37.5">
      <c r="A31" s="4"/>
      <c r="B31" s="21">
        <f t="shared" si="2"/>
        <v>19</v>
      </c>
      <c r="C31" s="13" t="s">
        <v>1457</v>
      </c>
      <c r="D31" s="13" t="s">
        <v>1458</v>
      </c>
      <c r="E31" s="7"/>
      <c r="F31" s="7" t="s">
        <v>865</v>
      </c>
      <c r="G31" s="7" t="str">
        <f t="shared" si="3"/>
        <v>text</v>
      </c>
      <c r="H31" s="58"/>
      <c r="I31" s="23"/>
      <c r="J31" s="24" t="s">
        <v>1474</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milscm_2023_009.sny_202310_base_merge_mml_sm_summary.taiin_medication IS '退院時処方';</v>
      </c>
    </row>
    <row r="32" spans="1:45" s="25" customFormat="1" ht="37.5">
      <c r="A32" s="4"/>
      <c r="B32" s="21">
        <f t="shared" si="2"/>
        <v>20</v>
      </c>
      <c r="C32" s="13" t="s">
        <v>1459</v>
      </c>
      <c r="D32" s="13" t="s">
        <v>1460</v>
      </c>
      <c r="E32" s="7"/>
      <c r="F32" s="7" t="s">
        <v>865</v>
      </c>
      <c r="G32" s="7" t="str">
        <f t="shared" si="3"/>
        <v>text</v>
      </c>
      <c r="H32" s="58"/>
      <c r="I32" s="23"/>
      <c r="J32" s="24" t="s">
        <v>1475</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milscm_2023_009.sny_202310_base_merge_mml_sm_summary.taiin_chiryo_plan IS '退院後治療方針';</v>
      </c>
    </row>
    <row r="33" spans="1:52" s="25" customFormat="1" ht="38.25" thickBot="1">
      <c r="A33" s="4"/>
      <c r="B33" s="27">
        <f>ROW()-12</f>
        <v>21</v>
      </c>
      <c r="C33" s="57" t="s">
        <v>1461</v>
      </c>
      <c r="D33" s="57" t="s">
        <v>1462</v>
      </c>
      <c r="E33" s="56"/>
      <c r="F33" s="56" t="s">
        <v>865</v>
      </c>
      <c r="G33" s="56" t="str">
        <f t="shared" si="3"/>
        <v>text</v>
      </c>
      <c r="H33" s="59"/>
      <c r="I33" s="60"/>
      <c r="J33" s="64" t="s">
        <v>1476</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ENT_31_C4-24</v>
      </c>
      <c r="E6" s="240"/>
      <c r="F6" s="240"/>
      <c r="G6" s="240"/>
      <c r="H6" s="240"/>
      <c r="I6" s="240"/>
      <c r="J6" s="241"/>
    </row>
    <row r="7" spans="1:45">
      <c r="B7" s="229" t="s">
        <v>115</v>
      </c>
      <c r="C7" s="230"/>
      <c r="D7" s="231" t="s">
        <v>3686</v>
      </c>
      <c r="E7" s="232"/>
      <c r="F7" s="232"/>
      <c r="G7" s="232"/>
      <c r="H7" s="232"/>
      <c r="I7" s="232"/>
      <c r="J7" s="233"/>
    </row>
    <row r="8" spans="1:45">
      <c r="B8" s="229" t="s">
        <v>116</v>
      </c>
      <c r="C8" s="230"/>
      <c r="D8" s="231" t="str">
        <f>エンティティ一覧!AE2&amp;"_"&amp;D5&amp;"_merge_mml_sm_out_patient"</f>
        <v>sny_202310_base_merge_mml_sm_out_patient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milscm_2023_009.sny_202310_base_merge_mml_sm_out_patient;</v>
      </c>
      <c r="O10" s="76"/>
      <c r="P10" s="76"/>
      <c r="Q10" s="76"/>
      <c r="R10" s="76"/>
      <c r="S10" s="76"/>
      <c r="T10" s="76"/>
      <c r="AJ10" s="76" t="str">
        <f>"ALTER TABLE ONLY "&amp;エンティティ一覧!$O$2&amp;"."&amp;D$8</f>
        <v>ALTER TABLE ONLY milscm_2023_009.sny_202310_base_merge_mml_sm_out_patient</v>
      </c>
      <c r="AS10" s="76" t="str">
        <f>"ALTER TABLE "&amp;エンティティ一覧!$O$2&amp;"."&amp;D$8&amp;" OWNER TO pgmisgrp1;"</f>
        <v>ALTER TABLE milscm_2023_009.sny_202310_base_merge_mml_sm_out_patient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milscm_2023_009.sny_202310_base_merge_mml_sm_out_patient</v>
      </c>
      <c r="O11" s="76"/>
      <c r="P11" s="76"/>
      <c r="Q11" s="76"/>
      <c r="R11" s="76"/>
      <c r="S11" s="76"/>
      <c r="T11" s="76"/>
      <c r="AJ11" s="76" t="str">
        <f>"ADD CONSTRAINT "&amp;D$8&amp;"_pkey PRIMARY KEY"</f>
        <v>ADD CONSTRAINT sny_202310_base_merge_mml_sm_out_patient_pkey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milscm_2023_009.sny_202310_base_merge_mml_sm_out_patient.facility_id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milscm_2023_009.sny_202310_base_merge_mml_sm_out_patient.data_type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milscm_2023_009.sny_202310_base_merge_mml_sm_out_patient.master_id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1479</v>
      </c>
      <c r="D21" s="13" t="s">
        <v>1480</v>
      </c>
      <c r="E21" s="7" t="s">
        <v>127</v>
      </c>
      <c r="F21" s="7" t="s">
        <v>204</v>
      </c>
      <c r="G21" s="7" t="str">
        <f t="shared" si="3"/>
        <v>integer</v>
      </c>
      <c r="H21" s="58"/>
      <c r="I21" s="23" t="s">
        <v>127</v>
      </c>
      <c r="J21" s="24" t="s">
        <v>1489</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milscm_2023_009.sny_202310_base_merge_mml_sm_out_patient.gairai_seq IS '個々の外来受診歴SEQ';</v>
      </c>
    </row>
    <row r="22" spans="1:52" s="25" customFormat="1" ht="37.5">
      <c r="A22" s="4"/>
      <c r="B22" s="21">
        <f t="shared" si="2"/>
        <v>10</v>
      </c>
      <c r="C22" s="13" t="s">
        <v>1481</v>
      </c>
      <c r="D22" s="13" t="s">
        <v>1482</v>
      </c>
      <c r="E22" s="7"/>
      <c r="F22" s="7" t="s">
        <v>865</v>
      </c>
      <c r="G22" s="7" t="str">
        <f t="shared" si="3"/>
        <v>text</v>
      </c>
      <c r="H22" s="58"/>
      <c r="I22" s="23"/>
      <c r="J22" s="24" t="s">
        <v>1490</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1483</v>
      </c>
      <c r="D23" s="13" t="s">
        <v>1484</v>
      </c>
      <c r="E23" s="7"/>
      <c r="F23" s="7" t="s">
        <v>865</v>
      </c>
      <c r="G23" s="7" t="str">
        <f t="shared" si="3"/>
        <v>text</v>
      </c>
      <c r="H23" s="58"/>
      <c r="I23" s="23"/>
      <c r="J23" s="24" t="s">
        <v>1491</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milscm_2023_009.sny_202310_base_merge_mml_sm_out_patient.gairai_state IS '外来受診状態';</v>
      </c>
    </row>
    <row r="24" spans="1:52" s="25" customFormat="1" ht="37.5">
      <c r="A24" s="4"/>
      <c r="B24" s="21">
        <f t="shared" si="2"/>
        <v>12</v>
      </c>
      <c r="C24" s="13" t="s">
        <v>1485</v>
      </c>
      <c r="D24" s="13" t="s">
        <v>1486</v>
      </c>
      <c r="E24" s="7"/>
      <c r="F24" s="7" t="s">
        <v>865</v>
      </c>
      <c r="G24" s="7" t="str">
        <f t="shared" si="3"/>
        <v>text</v>
      </c>
      <c r="H24" s="58"/>
      <c r="I24" s="23"/>
      <c r="J24" s="24" t="s">
        <v>1492</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milscm_2023_009.sny_202310_base_merge_mml_sm_out_patient.first_flag IS '初診フラグ';</v>
      </c>
    </row>
    <row r="25" spans="1:52" s="25" customFormat="1" ht="57" thickBot="1">
      <c r="A25" s="4"/>
      <c r="B25" s="27">
        <f>ROW()-12</f>
        <v>13</v>
      </c>
      <c r="C25" s="57" t="s">
        <v>1487</v>
      </c>
      <c r="D25" s="57" t="s">
        <v>1488</v>
      </c>
      <c r="E25" s="56"/>
      <c r="F25" s="56" t="s">
        <v>865</v>
      </c>
      <c r="G25" s="56" t="str">
        <f t="shared" si="3"/>
        <v>text</v>
      </c>
      <c r="H25" s="59"/>
      <c r="I25" s="60"/>
      <c r="J25" s="64" t="s">
        <v>1493</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ENT_31_C4-25</v>
      </c>
      <c r="E6" s="240"/>
      <c r="F6" s="240"/>
      <c r="G6" s="240"/>
      <c r="H6" s="240"/>
      <c r="I6" s="240"/>
      <c r="J6" s="241"/>
    </row>
    <row r="7" spans="1:45">
      <c r="B7" s="229" t="s">
        <v>115</v>
      </c>
      <c r="C7" s="230"/>
      <c r="D7" s="231" t="s">
        <v>3687</v>
      </c>
      <c r="E7" s="232"/>
      <c r="F7" s="232"/>
      <c r="G7" s="232"/>
      <c r="H7" s="232"/>
      <c r="I7" s="232"/>
      <c r="J7" s="233"/>
    </row>
    <row r="8" spans="1:45">
      <c r="B8" s="229" t="s">
        <v>116</v>
      </c>
      <c r="C8" s="230"/>
      <c r="D8" s="231" t="str">
        <f>エンティティ一覧!AE2&amp;"_"&amp;D5&amp;"_merge_mml_sm_in_patient"</f>
        <v>sny_202310_base_merge_mml_sm_in_patient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milscm_2023_009.sny_202310_base_merge_mml_sm_in_patient;</v>
      </c>
      <c r="O10" s="76"/>
      <c r="P10" s="76"/>
      <c r="Q10" s="76"/>
      <c r="R10" s="76"/>
      <c r="S10" s="76"/>
      <c r="T10" s="76"/>
      <c r="AJ10" s="76" t="str">
        <f>"ALTER TABLE ONLY "&amp;エンティティ一覧!$O$2&amp;"."&amp;D$8</f>
        <v>ALTER TABLE ONLY milscm_2023_009.sny_202310_base_merge_mml_sm_in_patient</v>
      </c>
      <c r="AS10" s="76" t="str">
        <f>"ALTER TABLE "&amp;エンティティ一覧!$O$2&amp;"."&amp;D$8&amp;" OWNER TO pgmisgrp1;"</f>
        <v>ALTER TABLE milscm_2023_009.sny_202310_base_merge_mml_sm_in_patient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milscm_2023_009.sny_202310_base_merge_mml_sm_in_patient</v>
      </c>
      <c r="O11" s="76"/>
      <c r="P11" s="76"/>
      <c r="Q11" s="76"/>
      <c r="R11" s="76"/>
      <c r="S11" s="76"/>
      <c r="T11" s="76"/>
      <c r="AJ11" s="76" t="str">
        <f>"ADD CONSTRAINT "&amp;D$8&amp;"_pkey PRIMARY KEY"</f>
        <v>ADD CONSTRAINT sny_202310_base_merge_mml_sm_in_patient_pkey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1284</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milscm_2023_009.sny_202310_base_merge_mml_sm_in_patient.facility_id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milscm_2023_009.sny_202310_base_merge_mml_sm_in_patient.data_type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milscm_2023_009.sny_202310_base_merge_mml_sm_in_patient.master_id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1496</v>
      </c>
      <c r="D21" s="13" t="s">
        <v>1497</v>
      </c>
      <c r="E21" s="7" t="s">
        <v>127</v>
      </c>
      <c r="F21" s="7" t="s">
        <v>204</v>
      </c>
      <c r="G21" s="7" t="str">
        <f t="shared" si="3"/>
        <v>integer</v>
      </c>
      <c r="H21" s="58"/>
      <c r="I21" s="23" t="s">
        <v>127</v>
      </c>
      <c r="J21" s="24" t="s">
        <v>1511</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milscm_2023_009.sny_202310_base_merge_mml_sm_in_patient.nyuin_seq IS '個々の入院歴SEQ';</v>
      </c>
    </row>
    <row r="22" spans="1:52" s="25" customFormat="1" ht="37.5">
      <c r="A22" s="4"/>
      <c r="B22" s="21">
        <f t="shared" si="2"/>
        <v>10</v>
      </c>
      <c r="C22" s="13" t="s">
        <v>1498</v>
      </c>
      <c r="D22" s="13" t="s">
        <v>156</v>
      </c>
      <c r="E22" s="7"/>
      <c r="F22" s="7" t="s">
        <v>865</v>
      </c>
      <c r="G22" s="7" t="str">
        <f t="shared" si="3"/>
        <v>text</v>
      </c>
      <c r="H22" s="58"/>
      <c r="I22" s="23"/>
      <c r="J22" s="24" t="s">
        <v>1512</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milscm_2023_009.sny_202310_base_merge_mml_sm_in_patient.nyuin_ymd IS '入院（転入）日';</v>
      </c>
    </row>
    <row r="23" spans="1:52" s="25" customFormat="1" ht="37.5">
      <c r="A23" s="4"/>
      <c r="B23" s="21">
        <f t="shared" si="2"/>
        <v>11</v>
      </c>
      <c r="C23" s="13" t="s">
        <v>1499</v>
      </c>
      <c r="D23" s="13" t="s">
        <v>1500</v>
      </c>
      <c r="E23" s="7"/>
      <c r="F23" s="7" t="s">
        <v>865</v>
      </c>
      <c r="G23" s="7" t="str">
        <f t="shared" si="3"/>
        <v>text</v>
      </c>
      <c r="H23" s="58"/>
      <c r="I23" s="23"/>
      <c r="J23" s="24" t="s">
        <v>1513</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milscm_2023_009.sny_202310_base_merge_mml_sm_in_patient.nyuin_state IS '入院時状態';</v>
      </c>
    </row>
    <row r="24" spans="1:52" s="25" customFormat="1" ht="56.25">
      <c r="A24" s="4"/>
      <c r="B24" s="21">
        <f t="shared" si="2"/>
        <v>12</v>
      </c>
      <c r="C24" s="13" t="s">
        <v>1501</v>
      </c>
      <c r="D24" s="13" t="s">
        <v>1502</v>
      </c>
      <c r="E24" s="7"/>
      <c r="F24" s="7" t="s">
        <v>865</v>
      </c>
      <c r="G24" s="7" t="str">
        <f t="shared" si="3"/>
        <v>text</v>
      </c>
      <c r="H24" s="58"/>
      <c r="I24" s="23"/>
      <c r="J24" s="24" t="s">
        <v>1514</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milscm_2023_009.sny_202310_base_merge_mml_sm_in_patient.emergency_nyuin_flag IS '緊急入院フラグ';</v>
      </c>
    </row>
    <row r="25" spans="1:52" s="25" customFormat="1" ht="93.75">
      <c r="A25" s="4"/>
      <c r="B25" s="21">
        <f t="shared" si="2"/>
        <v>13</v>
      </c>
      <c r="C25" s="13" t="s">
        <v>1503</v>
      </c>
      <c r="D25" s="13" t="s">
        <v>1504</v>
      </c>
      <c r="E25" s="7"/>
      <c r="F25" s="7" t="s">
        <v>865</v>
      </c>
      <c r="G25" s="7" t="str">
        <f t="shared" si="3"/>
        <v>text</v>
      </c>
      <c r="H25" s="58"/>
      <c r="I25" s="23"/>
      <c r="J25" s="24" t="s">
        <v>1519</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milscm_2023_009.sny_202310_base_merge_mml_sm_in_patient.shokai_moto_facility IS '紹介元施設';</v>
      </c>
    </row>
    <row r="26" spans="1:52" s="25" customFormat="1" ht="37.5">
      <c r="A26" s="4"/>
      <c r="B26" s="21">
        <f t="shared" si="2"/>
        <v>14</v>
      </c>
      <c r="C26" s="13" t="s">
        <v>1505</v>
      </c>
      <c r="D26" s="13" t="s">
        <v>212</v>
      </c>
      <c r="E26" s="7"/>
      <c r="F26" s="7" t="s">
        <v>865</v>
      </c>
      <c r="G26" s="7" t="str">
        <f t="shared" si="3"/>
        <v>text</v>
      </c>
      <c r="H26" s="58"/>
      <c r="I26" s="23"/>
      <c r="J26" s="24" t="s">
        <v>1515</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milscm_2023_009.sny_202310_base_merge_mml_sm_in_patient.taiin_ymd IS '退院（転出）日';</v>
      </c>
    </row>
    <row r="27" spans="1:52" s="25" customFormat="1" ht="37.5">
      <c r="A27" s="4"/>
      <c r="B27" s="21">
        <f t="shared" si="2"/>
        <v>15</v>
      </c>
      <c r="C27" s="13" t="s">
        <v>1506</v>
      </c>
      <c r="D27" s="13" t="s">
        <v>1507</v>
      </c>
      <c r="E27" s="7"/>
      <c r="F27" s="7" t="s">
        <v>865</v>
      </c>
      <c r="G27" s="7" t="str">
        <f t="shared" si="3"/>
        <v>text</v>
      </c>
      <c r="H27" s="58"/>
      <c r="I27" s="23"/>
      <c r="J27" s="24" t="s">
        <v>1516</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milscm_2023_009.sny_202310_base_merge_mml_sm_in_patient.taiin_state IS '退院時状態';</v>
      </c>
    </row>
    <row r="28" spans="1:52" s="25" customFormat="1" ht="56.25">
      <c r="A28" s="4"/>
      <c r="B28" s="21">
        <f t="shared" si="2"/>
        <v>16</v>
      </c>
      <c r="C28" s="13" t="s">
        <v>593</v>
      </c>
      <c r="D28" s="13" t="s">
        <v>1508</v>
      </c>
      <c r="E28" s="7"/>
      <c r="F28" s="7" t="s">
        <v>865</v>
      </c>
      <c r="G28" s="7" t="str">
        <f t="shared" si="3"/>
        <v>text</v>
      </c>
      <c r="H28" s="58"/>
      <c r="I28" s="23"/>
      <c r="J28" s="24" t="s">
        <v>1517</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milscm_2023_009.sny_202310_base_merge_mml_sm_in_patient.taiin_tenki IS '退院時転帰';</v>
      </c>
    </row>
    <row r="29" spans="1:52" s="25" customFormat="1" ht="94.5" thickBot="1">
      <c r="A29" s="4"/>
      <c r="B29" s="27">
        <f>ROW()-12</f>
        <v>17</v>
      </c>
      <c r="C29" s="57" t="s">
        <v>1509</v>
      </c>
      <c r="D29" s="57" t="s">
        <v>1510</v>
      </c>
      <c r="E29" s="56"/>
      <c r="F29" s="56" t="s">
        <v>865</v>
      </c>
      <c r="G29" s="56" t="str">
        <f t="shared" si="3"/>
        <v>text</v>
      </c>
      <c r="H29" s="59"/>
      <c r="I29" s="60"/>
      <c r="J29" s="64" t="s">
        <v>1518</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ENT_31_C4-29</v>
      </c>
      <c r="E6" s="240"/>
      <c r="F6" s="240"/>
      <c r="G6" s="240"/>
      <c r="H6" s="240"/>
      <c r="I6" s="240"/>
      <c r="J6" s="241"/>
    </row>
    <row r="7" spans="1:45">
      <c r="B7" s="229" t="s">
        <v>115</v>
      </c>
      <c r="C7" s="230"/>
      <c r="D7" s="231" t="s">
        <v>3688</v>
      </c>
      <c r="E7" s="232"/>
      <c r="F7" s="232"/>
      <c r="G7" s="232"/>
      <c r="H7" s="232"/>
      <c r="I7" s="232"/>
      <c r="J7" s="233"/>
    </row>
    <row r="8" spans="1:45">
      <c r="B8" s="229" t="s">
        <v>116</v>
      </c>
      <c r="C8" s="230"/>
      <c r="D8" s="231" t="str">
        <f>エンティティ一覧!AE2&amp;"_"&amp;D5&amp;"_merge_mml_sm_clinical_course"</f>
        <v>sny_202310_base_merge_mml_sm_clinical_course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milscm_2023_009.sny_202310_base_merge_mml_sm_clinical_course;</v>
      </c>
      <c r="O10" s="76"/>
      <c r="P10" s="76"/>
      <c r="Q10" s="76"/>
      <c r="R10" s="76"/>
      <c r="S10" s="76"/>
      <c r="T10" s="76"/>
      <c r="AJ10" s="76" t="str">
        <f>"ALTER TABLE ONLY "&amp;エンティティ一覧!$O$2&amp;"."&amp;D$8</f>
        <v>ALTER TABLE ONLY milscm_2023_009.sny_202310_base_merge_mml_sm_clinical_course</v>
      </c>
      <c r="AS10" s="76" t="str">
        <f>"ALTER TABLE "&amp;エンティティ一覧!$O$2&amp;"."&amp;D$8&amp;" OWNER TO pgmisgrp1;"</f>
        <v>ALTER TABLE milscm_2023_009.sny_202310_base_merge_mml_sm_clinical_course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milscm_2023_009.sny_202310_base_merge_mml_sm_clinical_course</v>
      </c>
      <c r="O11" s="76"/>
      <c r="P11" s="76"/>
      <c r="Q11" s="76"/>
      <c r="R11" s="76"/>
      <c r="S11" s="76"/>
      <c r="T11" s="76"/>
      <c r="AJ11" s="76" t="str">
        <f>"ADD CONSTRAINT "&amp;D$8&amp;"_pkey PRIMARY KEY"</f>
        <v>ADD CONSTRAINT sny_202310_base_merge_mml_sm_clinical_course_pkey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milscm_2023_009.sny_202310_base_merge_mml_sm_clinical_course.facility_id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milscm_2023_009.sny_202310_base_merge_mml_sm_clinical_course.data_type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milscm_2023_009.sny_202310_base_merge_mml_sm_clinical_course.master_id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1346</v>
      </c>
      <c r="D21" s="13" t="s">
        <v>1347</v>
      </c>
      <c r="E21" s="7" t="s">
        <v>127</v>
      </c>
      <c r="F21" s="7" t="s">
        <v>204</v>
      </c>
      <c r="G21" s="7" t="str">
        <f t="shared" si="3"/>
        <v>integer</v>
      </c>
      <c r="H21" s="58"/>
      <c r="I21" s="23" t="s">
        <v>127</v>
      </c>
      <c r="J21" s="24" t="s">
        <v>1530</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milscm_2023_009.sny_202310_base_merge_mml_sm_clinical_course.keika_seq IS '経過記録SEQ';</v>
      </c>
    </row>
    <row r="22" spans="1:52" s="25" customFormat="1" ht="37.5">
      <c r="A22" s="4"/>
      <c r="B22" s="21">
        <f t="shared" si="2"/>
        <v>10</v>
      </c>
      <c r="C22" s="13" t="s">
        <v>1522</v>
      </c>
      <c r="D22" s="13" t="s">
        <v>1523</v>
      </c>
      <c r="E22" s="7"/>
      <c r="F22" s="7" t="s">
        <v>865</v>
      </c>
      <c r="G22" s="7" t="str">
        <f t="shared" si="3"/>
        <v>text</v>
      </c>
      <c r="H22" s="58"/>
      <c r="I22" s="23"/>
      <c r="J22" s="24" t="s">
        <v>1531</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milscm_2023_009.sny_202310_base_merge_mml_sm_clinical_course.keika_kiroku IS '経過記録';</v>
      </c>
    </row>
    <row r="23" spans="1:52" s="25" customFormat="1" ht="37.5">
      <c r="A23" s="4"/>
      <c r="B23" s="21">
        <f t="shared" si="2"/>
        <v>11</v>
      </c>
      <c r="C23" s="13" t="s">
        <v>1524</v>
      </c>
      <c r="D23" s="13" t="s">
        <v>1525</v>
      </c>
      <c r="E23" s="7"/>
      <c r="F23" s="7" t="s">
        <v>865</v>
      </c>
      <c r="G23" s="7" t="str">
        <f t="shared" si="3"/>
        <v>text</v>
      </c>
      <c r="H23" s="58"/>
      <c r="I23" s="23"/>
      <c r="J23" s="24" t="s">
        <v>1532</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milscm_2023_009.sny_202310_base_merge_mml_sm_clinical_course.event_date IS 'イベント発生日時';</v>
      </c>
    </row>
    <row r="24" spans="1:52" s="25" customFormat="1" ht="37.5">
      <c r="A24" s="4"/>
      <c r="B24" s="21">
        <f t="shared" si="2"/>
        <v>12</v>
      </c>
      <c r="C24" s="13" t="s">
        <v>1526</v>
      </c>
      <c r="D24" s="13" t="s">
        <v>1527</v>
      </c>
      <c r="E24" s="7"/>
      <c r="F24" s="7" t="s">
        <v>865</v>
      </c>
      <c r="G24" s="7" t="str">
        <f t="shared" si="3"/>
        <v>text</v>
      </c>
      <c r="H24" s="58"/>
      <c r="I24" s="23"/>
      <c r="J24" s="24" t="s">
        <v>1533</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milscm_2023_009.sny_202310_base_merge_mml_sm_clinical_course.kanren_doc_uid IS '関連文書のuid';</v>
      </c>
    </row>
    <row r="25" spans="1:52" s="25" customFormat="1" ht="75.75" thickBot="1">
      <c r="A25" s="4"/>
      <c r="B25" s="27">
        <f>ROW()-12</f>
        <v>13</v>
      </c>
      <c r="C25" s="57" t="s">
        <v>1528</v>
      </c>
      <c r="D25" s="57" t="s">
        <v>1529</v>
      </c>
      <c r="E25" s="56"/>
      <c r="F25" s="56" t="s">
        <v>865</v>
      </c>
      <c r="G25" s="56" t="str">
        <f t="shared" si="3"/>
        <v>text</v>
      </c>
      <c r="H25" s="59"/>
      <c r="I25" s="60"/>
      <c r="J25" s="64" t="s">
        <v>1534</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ENT_31_C4-30</v>
      </c>
      <c r="E6" s="240"/>
      <c r="F6" s="240"/>
      <c r="G6" s="240"/>
      <c r="H6" s="240"/>
      <c r="I6" s="240"/>
      <c r="J6" s="241"/>
    </row>
    <row r="7" spans="1:45">
      <c r="B7" s="229" t="s">
        <v>115</v>
      </c>
      <c r="C7" s="230"/>
      <c r="D7" s="231" t="s">
        <v>3689</v>
      </c>
      <c r="E7" s="232"/>
      <c r="F7" s="232"/>
      <c r="G7" s="232"/>
      <c r="H7" s="232"/>
      <c r="I7" s="232"/>
      <c r="J7" s="233"/>
    </row>
    <row r="8" spans="1:45">
      <c r="B8" s="229" t="s">
        <v>116</v>
      </c>
      <c r="C8" s="230"/>
      <c r="D8" s="231" t="str">
        <f>エンティティ一覧!AE2&amp;"_"&amp;D5&amp;"_merge_mml_sm_test_results"</f>
        <v>sny_202310_base_merge_mml_sm_test_results</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milscm_2023_009.sny_202310_base_merge_mml_sm_test_results;</v>
      </c>
      <c r="O10" s="76"/>
      <c r="P10" s="76"/>
      <c r="Q10" s="76"/>
      <c r="R10" s="76"/>
      <c r="S10" s="76"/>
      <c r="T10" s="76"/>
      <c r="AJ10" s="76" t="str">
        <f>"ALTER TABLE ONLY "&amp;エンティティ一覧!$O$2&amp;"."&amp;D$8</f>
        <v>ALTER TABLE ONLY milscm_2023_009.sny_202310_base_merge_mml_sm_test_results</v>
      </c>
      <c r="AS10" s="76" t="str">
        <f>"ALTER TABLE "&amp;エンティティ一覧!$O$2&amp;"."&amp;D$8&amp;" OWNER TO pgmisgrp1;"</f>
        <v>ALTER TABLE milscm_2023_009.sny_202310_base_merge_mml_sm_test_results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milscm_2023_009.sny_202310_base_merge_mml_sm_test_results</v>
      </c>
      <c r="O11" s="76"/>
      <c r="P11" s="76"/>
      <c r="Q11" s="76"/>
      <c r="R11" s="76"/>
      <c r="S11" s="76"/>
      <c r="T11" s="76"/>
      <c r="AJ11" s="76" t="str">
        <f>"ADD CONSTRAINT "&amp;D$8&amp;"_pkey PRIMARY KEY"</f>
        <v>ADD CONSTRAINT sny_202310_base_merge_mml_sm_test_results_pkey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milscm_2023_009.sny_202310_base_merge_mml_sm_test_results.facility_id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milscm_2023_009.sny_202310_base_merge_mml_sm_test_results.data_type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milscm_2023_009.sny_202310_base_merge_mml_sm_test_results.master_id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1538</v>
      </c>
      <c r="D21" s="13" t="s">
        <v>1539</v>
      </c>
      <c r="E21" s="7" t="s">
        <v>127</v>
      </c>
      <c r="F21" s="7" t="s">
        <v>204</v>
      </c>
      <c r="G21" s="7" t="str">
        <f t="shared" si="3"/>
        <v>integer</v>
      </c>
      <c r="H21" s="58"/>
      <c r="I21" s="23" t="s">
        <v>127</v>
      </c>
      <c r="J21" s="24" t="s">
        <v>1542</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milscm_2023_009.sny_202310_base_merge_mml_sm_test_results.kensa_seq IS '個々の検査結果SEQ';</v>
      </c>
    </row>
    <row r="22" spans="1:52" s="25" customFormat="1" ht="37.5">
      <c r="A22" s="4"/>
      <c r="B22" s="21">
        <f t="shared" si="2"/>
        <v>10</v>
      </c>
      <c r="C22" s="13" t="s">
        <v>1540</v>
      </c>
      <c r="D22" s="13" t="s">
        <v>1541</v>
      </c>
      <c r="E22" s="7"/>
      <c r="F22" s="7" t="s">
        <v>865</v>
      </c>
      <c r="G22" s="7" t="str">
        <f t="shared" si="3"/>
        <v>text</v>
      </c>
      <c r="H22" s="58"/>
      <c r="I22" s="23"/>
      <c r="J22" s="24" t="s">
        <v>1543</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milscm_2023_009.sny_202310_base_merge_mml_sm_test_results.kensa_result_value IS '個々の検査結果';</v>
      </c>
    </row>
    <row r="23" spans="1:52" s="25" customFormat="1" ht="38.25" thickBot="1">
      <c r="A23" s="4"/>
      <c r="B23" s="27">
        <f>ROW()-12</f>
        <v>11</v>
      </c>
      <c r="C23" s="57" t="s">
        <v>1524</v>
      </c>
      <c r="D23" s="57" t="s">
        <v>1525</v>
      </c>
      <c r="E23" s="56"/>
      <c r="F23" s="56" t="s">
        <v>865</v>
      </c>
      <c r="G23" s="56" t="str">
        <f t="shared" si="3"/>
        <v>text</v>
      </c>
      <c r="H23" s="59"/>
      <c r="I23" s="60"/>
      <c r="J23" s="64" t="s">
        <v>1544</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ENT_31_C4-31</v>
      </c>
      <c r="E6" s="240"/>
      <c r="F6" s="240"/>
      <c r="G6" s="240"/>
      <c r="H6" s="240"/>
      <c r="I6" s="240"/>
      <c r="J6" s="241"/>
    </row>
    <row r="7" spans="1:45">
      <c r="B7" s="229" t="s">
        <v>115</v>
      </c>
      <c r="C7" s="230"/>
      <c r="D7" s="231" t="s">
        <v>3690</v>
      </c>
      <c r="E7" s="232"/>
      <c r="F7" s="232"/>
      <c r="G7" s="232"/>
      <c r="H7" s="232"/>
      <c r="I7" s="232"/>
      <c r="J7" s="233"/>
    </row>
    <row r="8" spans="1:45">
      <c r="B8" s="229" t="s">
        <v>116</v>
      </c>
      <c r="C8" s="230"/>
      <c r="D8" s="231" t="str">
        <f>エンティティ一覧!AE2&amp;"_"&amp;D5&amp;"_merge_mml_lb_test"</f>
        <v>sny_202310_base_merge_mml_lb_test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milscm_2023_009.sny_202310_base_merge_mml_lb_test;</v>
      </c>
      <c r="O10" s="76"/>
      <c r="P10" s="76"/>
      <c r="Q10" s="76"/>
      <c r="R10" s="76"/>
      <c r="S10" s="76"/>
      <c r="T10" s="76"/>
      <c r="AJ10" s="76" t="str">
        <f>"ALTER TABLE ONLY "&amp;エンティティ一覧!$O$2&amp;"."&amp;D$8</f>
        <v>ALTER TABLE ONLY milscm_2023_009.sny_202310_base_merge_mml_lb_test</v>
      </c>
      <c r="AS10" s="76" t="str">
        <f>"ALTER TABLE "&amp;エンティティ一覧!$O$2&amp;"."&amp;D$8&amp;" OWNER TO pgmisgrp1;"</f>
        <v>ALTER TABLE milscm_2023_009.sny_202310_base_merge_mml_lb_test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milscm_2023_009.sny_202310_base_merge_mml_lb_test</v>
      </c>
      <c r="O11" s="76"/>
      <c r="P11" s="76"/>
      <c r="Q11" s="76"/>
      <c r="R11" s="76"/>
      <c r="S11" s="76"/>
      <c r="T11" s="76"/>
      <c r="AJ11" s="76" t="str">
        <f>"ADD CONSTRAINT "&amp;D$8&amp;"_pkey PRIMARY KEY"</f>
        <v>ADD CONSTRAINT sny_202310_base_merge_mml_lb_test_pkey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milscm_2023_009.sny_202310_base_merge_mml_lb_test.facility_id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milscm_2023_009.sny_202310_base_merge_mml_lb_test.data_type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milscm_2023_009.sny_202310_base_merge_mml_lb_test.master_id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1548</v>
      </c>
      <c r="D21" s="13" t="s">
        <v>1549</v>
      </c>
      <c r="E21" s="7"/>
      <c r="F21" s="7" t="s">
        <v>865</v>
      </c>
      <c r="G21" s="7" t="str">
        <f t="shared" si="3"/>
        <v>text</v>
      </c>
      <c r="H21" s="58"/>
      <c r="I21" s="23"/>
      <c r="J21" s="24" t="s">
        <v>1585</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milscm_2023_009.sny_202310_base_merge_mml_lb_test.irai_id IS '依頼ID';</v>
      </c>
    </row>
    <row r="22" spans="1:45" s="25" customFormat="1" ht="37.5">
      <c r="A22" s="4"/>
      <c r="B22" s="21">
        <f t="shared" si="2"/>
        <v>10</v>
      </c>
      <c r="C22" s="13" t="s">
        <v>1550</v>
      </c>
      <c r="D22" s="13" t="s">
        <v>1551</v>
      </c>
      <c r="E22" s="7"/>
      <c r="F22" s="7" t="s">
        <v>865</v>
      </c>
      <c r="G22" s="7" t="str">
        <f t="shared" si="3"/>
        <v>text</v>
      </c>
      <c r="H22" s="58"/>
      <c r="I22" s="23"/>
      <c r="J22" s="24" t="s">
        <v>1586</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milscm_2023_009.sny_202310_base_merge_mml_lb_test.sample_time IS '採取日時';</v>
      </c>
    </row>
    <row r="23" spans="1:45" s="25" customFormat="1" ht="37.5">
      <c r="A23" s="4"/>
      <c r="B23" s="21">
        <f t="shared" si="2"/>
        <v>11</v>
      </c>
      <c r="C23" s="13" t="s">
        <v>1552</v>
      </c>
      <c r="D23" s="13" t="s">
        <v>1553</v>
      </c>
      <c r="E23" s="7"/>
      <c r="F23" s="7" t="s">
        <v>865</v>
      </c>
      <c r="G23" s="7" t="str">
        <f t="shared" si="3"/>
        <v>text</v>
      </c>
      <c r="H23" s="58"/>
      <c r="I23" s="23"/>
      <c r="J23" s="24" t="s">
        <v>1587</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milscm_2023_009.sny_202310_base_merge_mml_lb_test.uketsuke_time IS '受付日時';</v>
      </c>
    </row>
    <row r="24" spans="1:45" s="25" customFormat="1" ht="37.5">
      <c r="A24" s="4"/>
      <c r="B24" s="21">
        <f t="shared" si="2"/>
        <v>12</v>
      </c>
      <c r="C24" s="13" t="s">
        <v>1554</v>
      </c>
      <c r="D24" s="13" t="s">
        <v>1555</v>
      </c>
      <c r="E24" s="7"/>
      <c r="F24" s="7" t="s">
        <v>865</v>
      </c>
      <c r="G24" s="7" t="str">
        <f t="shared" si="3"/>
        <v>text</v>
      </c>
      <c r="H24" s="58"/>
      <c r="I24" s="23"/>
      <c r="J24" s="24" t="s">
        <v>1588</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1556</v>
      </c>
      <c r="D25" s="13" t="s">
        <v>1557</v>
      </c>
      <c r="E25" s="7"/>
      <c r="F25" s="7" t="s">
        <v>865</v>
      </c>
      <c r="G25" s="7" t="str">
        <f t="shared" si="3"/>
        <v>text</v>
      </c>
      <c r="H25" s="58"/>
      <c r="I25" s="23"/>
      <c r="J25" s="24" t="s">
        <v>1589</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milscm_2023_009.sny_202310_base_merge_mml_lb_test.status IS '報告状態';</v>
      </c>
    </row>
    <row r="26" spans="1:45" s="25" customFormat="1" ht="56.25">
      <c r="A26" s="4"/>
      <c r="B26" s="21">
        <f t="shared" si="2"/>
        <v>14</v>
      </c>
      <c r="C26" s="13" t="s">
        <v>1558</v>
      </c>
      <c r="D26" s="13" t="s">
        <v>1559</v>
      </c>
      <c r="E26" s="7"/>
      <c r="F26" s="7" t="s">
        <v>865</v>
      </c>
      <c r="G26" s="7" t="str">
        <f t="shared" si="3"/>
        <v>text</v>
      </c>
      <c r="H26" s="58"/>
      <c r="I26" s="23"/>
      <c r="J26" s="24" t="s">
        <v>1590</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1560</v>
      </c>
      <c r="D27" s="13" t="s">
        <v>1561</v>
      </c>
      <c r="E27" s="7"/>
      <c r="F27" s="7" t="s">
        <v>865</v>
      </c>
      <c r="G27" s="7" t="str">
        <f t="shared" si="3"/>
        <v>text</v>
      </c>
      <c r="H27" s="58"/>
      <c r="I27" s="23"/>
      <c r="J27" s="24" t="s">
        <v>1591</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milscm_2023_009.sny_202310_base_merge_mml_lb_test.set_name IS 'セット名';</v>
      </c>
    </row>
    <row r="28" spans="1:45" s="25" customFormat="1" ht="37.5">
      <c r="A28" s="4"/>
      <c r="B28" s="21">
        <f t="shared" si="2"/>
        <v>16</v>
      </c>
      <c r="C28" s="13" t="s">
        <v>1562</v>
      </c>
      <c r="D28" s="13" t="s">
        <v>1563</v>
      </c>
      <c r="E28" s="7"/>
      <c r="F28" s="7" t="s">
        <v>865</v>
      </c>
      <c r="G28" s="7" t="str">
        <f t="shared" si="3"/>
        <v>text</v>
      </c>
      <c r="H28" s="58"/>
      <c r="I28" s="23"/>
      <c r="J28" s="24" t="s">
        <v>1592</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milscm_2023_009.sny_202310_base_merge_mml_lb_test.set_name_code IS 'セット名コード';</v>
      </c>
    </row>
    <row r="29" spans="1:45" s="25" customFormat="1" ht="37.5">
      <c r="A29" s="4"/>
      <c r="B29" s="21">
        <f t="shared" si="2"/>
        <v>17</v>
      </c>
      <c r="C29" s="13" t="s">
        <v>1564</v>
      </c>
      <c r="D29" s="13" t="s">
        <v>1565</v>
      </c>
      <c r="E29" s="7"/>
      <c r="F29" s="7" t="s">
        <v>865</v>
      </c>
      <c r="G29" s="7" t="str">
        <f t="shared" si="3"/>
        <v>text</v>
      </c>
      <c r="H29" s="58"/>
      <c r="I29" s="23"/>
      <c r="J29" s="24" t="s">
        <v>1593</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1566</v>
      </c>
      <c r="D30" s="13" t="s">
        <v>1567</v>
      </c>
      <c r="E30" s="7"/>
      <c r="F30" s="7" t="s">
        <v>865</v>
      </c>
      <c r="G30" s="7" t="str">
        <f t="shared" si="3"/>
        <v>text</v>
      </c>
      <c r="H30" s="58"/>
      <c r="I30" s="23"/>
      <c r="J30" s="24" t="s">
        <v>1594</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1568</v>
      </c>
      <c r="D31" s="13" t="s">
        <v>1569</v>
      </c>
      <c r="E31" s="7"/>
      <c r="F31" s="7" t="s">
        <v>865</v>
      </c>
      <c r="G31" s="7" t="str">
        <f t="shared" si="3"/>
        <v>text</v>
      </c>
      <c r="H31" s="58"/>
      <c r="I31" s="23"/>
      <c r="J31" s="24" t="s">
        <v>1595</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milscm_2023_009.sny_202310_base_merge_mml_lb_test.irai_facility_code IS '依頼施設コード';</v>
      </c>
    </row>
    <row r="32" spans="1:45" s="25" customFormat="1" ht="37.5">
      <c r="A32" s="4"/>
      <c r="B32" s="21">
        <f t="shared" si="2"/>
        <v>20</v>
      </c>
      <c r="C32" s="13" t="s">
        <v>1570</v>
      </c>
      <c r="D32" s="13" t="s">
        <v>1571</v>
      </c>
      <c r="E32" s="7"/>
      <c r="F32" s="7" t="s">
        <v>865</v>
      </c>
      <c r="G32" s="7" t="str">
        <f t="shared" si="3"/>
        <v>text</v>
      </c>
      <c r="H32" s="58"/>
      <c r="I32" s="23"/>
      <c r="J32" s="24" t="s">
        <v>1596</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1572</v>
      </c>
      <c r="D33" s="13" t="s">
        <v>1573</v>
      </c>
      <c r="E33" s="7"/>
      <c r="F33" s="7" t="s">
        <v>865</v>
      </c>
      <c r="G33" s="7" t="str">
        <f t="shared" si="3"/>
        <v>text</v>
      </c>
      <c r="H33" s="58"/>
      <c r="I33" s="23"/>
      <c r="J33" s="24" t="s">
        <v>1597</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milscm_2023_009.sny_202310_base_merge_mml_lb_test.irai_department IS '依頼診療科';</v>
      </c>
    </row>
    <row r="34" spans="1:52" s="25" customFormat="1" ht="37.5">
      <c r="A34" s="4"/>
      <c r="B34" s="21">
        <f t="shared" si="2"/>
        <v>22</v>
      </c>
      <c r="C34" s="13" t="s">
        <v>1574</v>
      </c>
      <c r="D34" s="13" t="s">
        <v>1575</v>
      </c>
      <c r="E34" s="7"/>
      <c r="F34" s="7" t="s">
        <v>865</v>
      </c>
      <c r="G34" s="7" t="str">
        <f t="shared" si="3"/>
        <v>text</v>
      </c>
      <c r="H34" s="58"/>
      <c r="I34" s="23"/>
      <c r="J34" s="24" t="s">
        <v>1598</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1576</v>
      </c>
      <c r="D35" s="13" t="s">
        <v>1577</v>
      </c>
      <c r="E35" s="7"/>
      <c r="F35" s="7" t="s">
        <v>865</v>
      </c>
      <c r="G35" s="7" t="str">
        <f t="shared" si="3"/>
        <v>text</v>
      </c>
      <c r="H35" s="58"/>
      <c r="I35" s="23"/>
      <c r="J35" s="24" t="s">
        <v>1599</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milscm_2023_009.sny_202310_base_merge_mml_lb_test.irai_ward IS '依頼病棟';</v>
      </c>
    </row>
    <row r="36" spans="1:52" s="25" customFormat="1" ht="37.5">
      <c r="A36" s="4"/>
      <c r="B36" s="21">
        <f t="shared" si="2"/>
        <v>24</v>
      </c>
      <c r="C36" s="13" t="s">
        <v>1578</v>
      </c>
      <c r="D36" s="13" t="s">
        <v>1579</v>
      </c>
      <c r="E36" s="7"/>
      <c r="F36" s="7" t="s">
        <v>865</v>
      </c>
      <c r="G36" s="7" t="str">
        <f t="shared" si="3"/>
        <v>text</v>
      </c>
      <c r="H36" s="58"/>
      <c r="I36" s="23"/>
      <c r="J36" s="24" t="s">
        <v>1600</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milscm_2023_009.sny_202310_base_merge_mml_lb_test.irai_ward_code IS '依頼病棟コード';</v>
      </c>
    </row>
    <row r="37" spans="1:52" s="25" customFormat="1" ht="37.5">
      <c r="A37" s="4"/>
      <c r="B37" s="21">
        <f t="shared" si="2"/>
        <v>25</v>
      </c>
      <c r="C37" s="13" t="s">
        <v>1580</v>
      </c>
      <c r="D37" s="13" t="s">
        <v>1581</v>
      </c>
      <c r="E37" s="7"/>
      <c r="F37" s="7" t="s">
        <v>865</v>
      </c>
      <c r="G37" s="7" t="str">
        <f t="shared" si="3"/>
        <v>text</v>
      </c>
      <c r="H37" s="58"/>
      <c r="I37" s="23"/>
      <c r="J37" s="24" t="s">
        <v>1601</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milscm_2023_009.sny_202310_base_merge_mml_lb_test.irai_ward_code_id IS '依頼病棟コードID';</v>
      </c>
    </row>
    <row r="38" spans="1:52" s="25" customFormat="1" ht="19.5" thickBot="1">
      <c r="A38" s="4"/>
      <c r="B38" s="27">
        <f>ROW()-12</f>
        <v>26</v>
      </c>
      <c r="C38" s="57" t="s">
        <v>1582</v>
      </c>
      <c r="D38" s="57" t="s">
        <v>1583</v>
      </c>
      <c r="E38" s="56"/>
      <c r="F38" s="56" t="s">
        <v>865</v>
      </c>
      <c r="G38" s="56" t="str">
        <f t="shared" si="3"/>
        <v>text</v>
      </c>
      <c r="H38" s="59"/>
      <c r="I38" s="60"/>
      <c r="J38" s="64" t="s">
        <v>1602</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ENT_31_C4-33</v>
      </c>
      <c r="E6" s="240"/>
      <c r="F6" s="240"/>
      <c r="G6" s="240"/>
      <c r="H6" s="240"/>
      <c r="I6" s="240"/>
      <c r="J6" s="241"/>
    </row>
    <row r="7" spans="1:45">
      <c r="B7" s="229" t="s">
        <v>115</v>
      </c>
      <c r="C7" s="230"/>
      <c r="D7" s="231" t="s">
        <v>3691</v>
      </c>
      <c r="E7" s="232"/>
      <c r="F7" s="232"/>
      <c r="G7" s="232"/>
      <c r="H7" s="232"/>
      <c r="I7" s="232"/>
      <c r="J7" s="233"/>
    </row>
    <row r="8" spans="1:45">
      <c r="B8" s="229" t="s">
        <v>116</v>
      </c>
      <c r="C8" s="230"/>
      <c r="D8" s="231" t="str">
        <f>エンティティ一覧!AE2&amp;"_"&amp;D5&amp;"_merge_mml_lb_specimen"</f>
        <v>sny_202310_base_merge_mml_lb_specimen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milscm_2023_009.sny_202310_base_merge_mml_lb_specimen;</v>
      </c>
      <c r="O10" s="76"/>
      <c r="P10" s="76"/>
      <c r="Q10" s="76"/>
      <c r="R10" s="76"/>
      <c r="S10" s="76"/>
      <c r="T10" s="76"/>
      <c r="AJ10" s="76" t="str">
        <f>"ALTER TABLE ONLY "&amp;エンティティ一覧!$O$2&amp;"."&amp;D$8</f>
        <v>ALTER TABLE ONLY milscm_2023_009.sny_202310_base_merge_mml_lb_specimen</v>
      </c>
      <c r="AS10" s="76" t="str">
        <f>"ALTER TABLE "&amp;エンティティ一覧!$O$2&amp;"."&amp;D$8&amp;" OWNER TO pgmisgrp1;"</f>
        <v>ALTER TABLE milscm_2023_009.sny_202310_base_merge_mml_lb_specimen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milscm_2023_009.sny_202310_base_merge_mml_lb_specimen</v>
      </c>
      <c r="O11" s="76"/>
      <c r="P11" s="76"/>
      <c r="Q11" s="76"/>
      <c r="R11" s="76"/>
      <c r="S11" s="76"/>
      <c r="T11" s="76"/>
      <c r="AJ11" s="76" t="str">
        <f>"ADD CONSTRAINT "&amp;D$8&amp;"_pkey PRIMARY KEY"</f>
        <v>ADD CONSTRAINT sny_202310_base_merge_mml_lb_specimen_pkey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milscm_2023_009.sny_202310_base_merge_mml_lb_specimen.facility_id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milscm_2023_009.sny_202310_base_merge_mml_lb_specimen.data_type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milscm_2023_009.sny_202310_base_merge_mml_lb_specimen.master_id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1604</v>
      </c>
      <c r="D21" s="13" t="s">
        <v>1605</v>
      </c>
      <c r="E21" s="7" t="s">
        <v>127</v>
      </c>
      <c r="F21" s="7" t="s">
        <v>204</v>
      </c>
      <c r="G21" s="7" t="str">
        <f t="shared" si="3"/>
        <v>integer</v>
      </c>
      <c r="H21" s="58"/>
      <c r="I21" s="23" t="s">
        <v>127</v>
      </c>
      <c r="J21" s="24" t="s">
        <v>1616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milscm_2023_009.sny_202310_base_merge_mml_lb_specimen.labo_test_seq IS '検体結果情報SEQ';</v>
      </c>
    </row>
    <row r="22" spans="1:52" s="25" customFormat="1" ht="75">
      <c r="A22" s="4"/>
      <c r="B22" s="21">
        <f t="shared" si="2"/>
        <v>10</v>
      </c>
      <c r="C22" s="13" t="s">
        <v>1606</v>
      </c>
      <c r="D22" s="13" t="s">
        <v>1607</v>
      </c>
      <c r="E22" s="7" t="s">
        <v>127</v>
      </c>
      <c r="F22" s="7" t="s">
        <v>204</v>
      </c>
      <c r="G22" s="7" t="str">
        <f t="shared" si="3"/>
        <v>integer</v>
      </c>
      <c r="H22" s="58">
        <v>1</v>
      </c>
      <c r="I22" s="23" t="s">
        <v>127</v>
      </c>
      <c r="J22" s="24" t="s">
        <v>1617</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1608</v>
      </c>
      <c r="D23" s="13" t="s">
        <v>1609</v>
      </c>
      <c r="E23" s="7"/>
      <c r="F23" s="7" t="s">
        <v>865</v>
      </c>
      <c r="G23" s="7" t="str">
        <f t="shared" si="3"/>
        <v>text</v>
      </c>
      <c r="H23" s="58"/>
      <c r="I23" s="23"/>
      <c r="J23" s="24" t="s">
        <v>1618</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milscm_2023_009.sny_202310_base_merge_mml_lb_specimen.specimen_name IS '検体材料';</v>
      </c>
    </row>
    <row r="24" spans="1:52" s="25" customFormat="1" ht="37.5">
      <c r="A24" s="4"/>
      <c r="B24" s="21">
        <f t="shared" si="2"/>
        <v>12</v>
      </c>
      <c r="C24" s="13" t="s">
        <v>1610</v>
      </c>
      <c r="D24" s="13" t="s">
        <v>1611</v>
      </c>
      <c r="E24" s="7"/>
      <c r="F24" s="7" t="s">
        <v>865</v>
      </c>
      <c r="G24" s="7" t="str">
        <f t="shared" si="3"/>
        <v>text</v>
      </c>
      <c r="H24" s="58"/>
      <c r="I24" s="23"/>
      <c r="J24" s="24" t="s">
        <v>1619</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milscm_2023_009.sny_202310_base_merge_mml_lb_specimen.sp_code IS '検体材料コード';</v>
      </c>
    </row>
    <row r="25" spans="1:52" s="25" customFormat="1" ht="37.5">
      <c r="A25" s="4"/>
      <c r="B25" s="21">
        <f t="shared" si="2"/>
        <v>13</v>
      </c>
      <c r="C25" s="13" t="s">
        <v>1612</v>
      </c>
      <c r="D25" s="13" t="s">
        <v>1613</v>
      </c>
      <c r="E25" s="7"/>
      <c r="F25" s="7" t="s">
        <v>865</v>
      </c>
      <c r="G25" s="7" t="str">
        <f t="shared" si="3"/>
        <v>text</v>
      </c>
      <c r="H25" s="58"/>
      <c r="I25" s="23"/>
      <c r="J25" s="24" t="s">
        <v>1620</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milscm_2023_009.sny_202310_base_merge_mml_lb_specimen.sp_code_id IS '検体材料コードのテーブル名';</v>
      </c>
    </row>
    <row r="26" spans="1:52" s="25" customFormat="1" ht="19.5" thickBot="1">
      <c r="A26" s="4"/>
      <c r="B26" s="27">
        <f>ROW()-12</f>
        <v>14</v>
      </c>
      <c r="C26" s="57" t="s">
        <v>1614</v>
      </c>
      <c r="D26" s="57" t="s">
        <v>1615</v>
      </c>
      <c r="E26" s="56"/>
      <c r="F26" s="56" t="s">
        <v>865</v>
      </c>
      <c r="G26" s="56" t="str">
        <f t="shared" si="3"/>
        <v>text</v>
      </c>
      <c r="H26" s="59"/>
      <c r="I26" s="60"/>
      <c r="J26" s="64" t="s">
        <v>1621</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ENT_31_C4-35</v>
      </c>
      <c r="E6" s="240"/>
      <c r="F6" s="240"/>
      <c r="G6" s="240"/>
      <c r="H6" s="240"/>
      <c r="I6" s="240"/>
      <c r="J6" s="241"/>
    </row>
    <row r="7" spans="1:45">
      <c r="B7" s="229" t="s">
        <v>115</v>
      </c>
      <c r="C7" s="230"/>
      <c r="D7" s="231" t="s">
        <v>3692</v>
      </c>
      <c r="E7" s="232"/>
      <c r="F7" s="232"/>
      <c r="G7" s="232"/>
      <c r="H7" s="232"/>
      <c r="I7" s="232"/>
      <c r="J7" s="233"/>
    </row>
    <row r="8" spans="1:45">
      <c r="B8" s="229" t="s">
        <v>116</v>
      </c>
      <c r="C8" s="230"/>
      <c r="D8" s="231" t="str">
        <f>エンティティ一覧!AE2&amp;"_"&amp;D5&amp;"_merge_mml_lb_item"</f>
        <v>sny_202310_base_merge_mml_lb_item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milscm_2023_009.sny_202310_base_merge_mml_lb_item;</v>
      </c>
      <c r="O10" s="76"/>
      <c r="P10" s="76"/>
      <c r="Q10" s="76"/>
      <c r="R10" s="76"/>
      <c r="S10" s="76"/>
      <c r="T10" s="76"/>
      <c r="AJ10" s="76" t="str">
        <f>"ALTER TABLE ONLY "&amp;エンティティ一覧!$O$2&amp;"."&amp;D$8</f>
        <v>ALTER TABLE ONLY milscm_2023_009.sny_202310_base_merge_mml_lb_item</v>
      </c>
      <c r="AS10" s="76" t="str">
        <f>"ALTER TABLE "&amp;エンティティ一覧!$O$2&amp;"."&amp;D$8&amp;" OWNER TO pgmisgrp1;"</f>
        <v>ALTER TABLE milscm_2023_009.sny_202310_base_merge_mml_lb_item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milscm_2023_009.sny_202310_base_merge_mml_lb_item</v>
      </c>
      <c r="O11" s="76"/>
      <c r="P11" s="76"/>
      <c r="Q11" s="76"/>
      <c r="R11" s="76"/>
      <c r="S11" s="76"/>
      <c r="T11" s="76"/>
      <c r="AJ11" s="76" t="str">
        <f>"ADD CONSTRAINT "&amp;D$8&amp;"_pkey PRIMARY KEY"</f>
        <v>ADD CONSTRAINT sny_202310_base_merge_mml_lb_item_pkey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1284</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milscm_2023_009.sny_202310_base_merge_mml_lb_item.data_type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milscm_2023_009.sny_202310_base_merge_mml_lb_item.master_id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1604</v>
      </c>
      <c r="D21" s="13" t="s">
        <v>1605</v>
      </c>
      <c r="E21" s="7" t="s">
        <v>127</v>
      </c>
      <c r="F21" s="7" t="s">
        <v>204</v>
      </c>
      <c r="G21" s="7" t="str">
        <f t="shared" si="3"/>
        <v>integer</v>
      </c>
      <c r="H21" s="58"/>
      <c r="I21" s="23" t="s">
        <v>127</v>
      </c>
      <c r="J21" s="24" t="s">
        <v>1660</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1623</v>
      </c>
      <c r="D22" s="13" t="s">
        <v>1624</v>
      </c>
      <c r="E22" s="7" t="s">
        <v>127</v>
      </c>
      <c r="F22" s="7" t="s">
        <v>204</v>
      </c>
      <c r="G22" s="7" t="str">
        <f t="shared" si="3"/>
        <v>integer</v>
      </c>
      <c r="H22" s="58"/>
      <c r="I22" s="23" t="s">
        <v>127</v>
      </c>
      <c r="J22" s="24" t="s">
        <v>1661</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1625</v>
      </c>
      <c r="D23" s="13" t="s">
        <v>1626</v>
      </c>
      <c r="E23" s="7"/>
      <c r="F23" s="7" t="s">
        <v>865</v>
      </c>
      <c r="G23" s="7" t="str">
        <f t="shared" si="3"/>
        <v>text</v>
      </c>
      <c r="H23" s="58"/>
      <c r="I23" s="23"/>
      <c r="J23" s="24" t="s">
        <v>1662</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1627</v>
      </c>
      <c r="D24" s="13" t="s">
        <v>1628</v>
      </c>
      <c r="E24" s="7"/>
      <c r="F24" s="7" t="s">
        <v>865</v>
      </c>
      <c r="G24" s="7" t="str">
        <f t="shared" si="3"/>
        <v>text</v>
      </c>
      <c r="H24" s="58"/>
      <c r="I24" s="23"/>
      <c r="J24" s="24" t="s">
        <v>1663</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1629</v>
      </c>
      <c r="D25" s="13" t="s">
        <v>1630</v>
      </c>
      <c r="E25" s="7"/>
      <c r="F25" s="7" t="s">
        <v>865</v>
      </c>
      <c r="G25" s="7" t="str">
        <f t="shared" si="3"/>
        <v>text</v>
      </c>
      <c r="H25" s="58"/>
      <c r="I25" s="23"/>
      <c r="J25" s="24" t="s">
        <v>1664</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1631</v>
      </c>
      <c r="D26" s="13" t="s">
        <v>1632</v>
      </c>
      <c r="E26" s="7"/>
      <c r="F26" s="7" t="s">
        <v>865</v>
      </c>
      <c r="G26" s="7" t="str">
        <f t="shared" si="3"/>
        <v>text</v>
      </c>
      <c r="H26" s="58"/>
      <c r="I26" s="23"/>
      <c r="J26" s="24" t="s">
        <v>1665</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1633</v>
      </c>
      <c r="D27" s="13" t="s">
        <v>1634</v>
      </c>
      <c r="E27" s="7"/>
      <c r="F27" s="7" t="s">
        <v>865</v>
      </c>
      <c r="G27" s="7" t="str">
        <f t="shared" si="3"/>
        <v>text</v>
      </c>
      <c r="H27" s="58"/>
      <c r="I27" s="23"/>
      <c r="J27" s="24" t="s">
        <v>1666</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1635</v>
      </c>
      <c r="D28" s="13" t="s">
        <v>1636</v>
      </c>
      <c r="E28" s="7"/>
      <c r="F28" s="7" t="s">
        <v>865</v>
      </c>
      <c r="G28" s="7" t="str">
        <f t="shared" si="3"/>
        <v>text</v>
      </c>
      <c r="H28" s="58"/>
      <c r="I28" s="23"/>
      <c r="J28" s="24" t="s">
        <v>1667</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1637</v>
      </c>
      <c r="D29" s="13" t="s">
        <v>1638</v>
      </c>
      <c r="E29" s="7"/>
      <c r="F29" s="7" t="s">
        <v>865</v>
      </c>
      <c r="G29" s="7" t="str">
        <f t="shared" si="3"/>
        <v>text</v>
      </c>
      <c r="H29" s="58"/>
      <c r="I29" s="23"/>
      <c r="J29" s="24" t="s">
        <v>1668</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1639</v>
      </c>
      <c r="D30" s="13" t="s">
        <v>1640</v>
      </c>
      <c r="E30" s="7"/>
      <c r="F30" s="7" t="s">
        <v>865</v>
      </c>
      <c r="G30" s="7" t="str">
        <f t="shared" si="3"/>
        <v>text</v>
      </c>
      <c r="H30" s="58"/>
      <c r="I30" s="23"/>
      <c r="J30" s="24" t="s">
        <v>1669</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1641</v>
      </c>
      <c r="D31" s="13" t="s">
        <v>1642</v>
      </c>
      <c r="E31" s="7"/>
      <c r="F31" s="7" t="s">
        <v>865</v>
      </c>
      <c r="G31" s="7" t="str">
        <f t="shared" si="3"/>
        <v>text</v>
      </c>
      <c r="H31" s="58"/>
      <c r="I31" s="23"/>
      <c r="J31" s="24" t="s">
        <v>1670</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1643</v>
      </c>
      <c r="D32" s="13" t="s">
        <v>1644</v>
      </c>
      <c r="E32" s="7"/>
      <c r="F32" s="7" t="s">
        <v>865</v>
      </c>
      <c r="G32" s="7" t="str">
        <f t="shared" si="3"/>
        <v>text</v>
      </c>
      <c r="H32" s="58"/>
      <c r="I32" s="23"/>
      <c r="J32" s="24" t="s">
        <v>1671</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1645</v>
      </c>
      <c r="D33" s="13" t="s">
        <v>1646</v>
      </c>
      <c r="E33" s="7"/>
      <c r="F33" s="7" t="s">
        <v>865</v>
      </c>
      <c r="G33" s="7" t="str">
        <f t="shared" si="3"/>
        <v>text</v>
      </c>
      <c r="H33" s="58"/>
      <c r="I33" s="23"/>
      <c r="J33" s="24" t="s">
        <v>1672</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milscm_2023_009.sny_202310_base_merge_mml_lb_item.up_value IS '上限値';</v>
      </c>
    </row>
    <row r="34" spans="1:52" s="25" customFormat="1">
      <c r="A34" s="4"/>
      <c r="B34" s="21">
        <f t="shared" si="2"/>
        <v>22</v>
      </c>
      <c r="C34" s="13" t="s">
        <v>1647</v>
      </c>
      <c r="D34" s="13" t="s">
        <v>1648</v>
      </c>
      <c r="E34" s="7"/>
      <c r="F34" s="7" t="s">
        <v>865</v>
      </c>
      <c r="G34" s="7" t="str">
        <f t="shared" si="3"/>
        <v>text</v>
      </c>
      <c r="H34" s="58"/>
      <c r="I34" s="23"/>
      <c r="J34" s="24" t="s">
        <v>1673</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1649</v>
      </c>
      <c r="D35" s="13" t="s">
        <v>1650</v>
      </c>
      <c r="E35" s="7"/>
      <c r="F35" s="7" t="s">
        <v>865</v>
      </c>
      <c r="G35" s="7" t="str">
        <f t="shared" si="3"/>
        <v>text</v>
      </c>
      <c r="H35" s="58"/>
      <c r="I35" s="23"/>
      <c r="J35" s="24" t="s">
        <v>1674</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milscm_2023_009.sny_202310_base_merge_mml_lb_item.normal_value IS '文字列で示す基準値';</v>
      </c>
    </row>
    <row r="36" spans="1:52" s="25" customFormat="1" ht="56.25">
      <c r="A36" s="4"/>
      <c r="B36" s="21">
        <f t="shared" si="2"/>
        <v>24</v>
      </c>
      <c r="C36" s="13" t="s">
        <v>1651</v>
      </c>
      <c r="D36" s="13" t="s">
        <v>1652</v>
      </c>
      <c r="E36" s="7"/>
      <c r="F36" s="7" t="s">
        <v>865</v>
      </c>
      <c r="G36" s="7" t="str">
        <f t="shared" si="3"/>
        <v>text</v>
      </c>
      <c r="H36" s="58"/>
      <c r="I36" s="23"/>
      <c r="J36" s="24" t="s">
        <v>1675</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1653</v>
      </c>
      <c r="D37" s="13" t="s">
        <v>276</v>
      </c>
      <c r="E37" s="7"/>
      <c r="F37" s="7" t="s">
        <v>865</v>
      </c>
      <c r="G37" s="7" t="str">
        <f t="shared" si="3"/>
        <v>text</v>
      </c>
      <c r="H37" s="58"/>
      <c r="I37" s="23"/>
      <c r="J37" s="24" t="s">
        <v>1676</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milscm_2023_009.sny_202310_base_merge_mml_lb_item.unit IS '単位';</v>
      </c>
    </row>
    <row r="38" spans="1:52" s="25" customFormat="1" ht="37.5">
      <c r="A38" s="4"/>
      <c r="B38" s="21">
        <f t="shared" si="2"/>
        <v>26</v>
      </c>
      <c r="C38" s="13" t="s">
        <v>1654</v>
      </c>
      <c r="D38" s="13" t="s">
        <v>1655</v>
      </c>
      <c r="E38" s="7"/>
      <c r="F38" s="7" t="s">
        <v>865</v>
      </c>
      <c r="G38" s="7" t="str">
        <f t="shared" si="3"/>
        <v>text</v>
      </c>
      <c r="H38" s="58"/>
      <c r="I38" s="23"/>
      <c r="J38" s="24" t="s">
        <v>1677</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milscm_2023_009.sny_202310_base_merge_mml_lb_item.unit_code IS '単位コード';</v>
      </c>
    </row>
    <row r="39" spans="1:52" s="25" customFormat="1" ht="37.5">
      <c r="A39" s="4"/>
      <c r="B39" s="21">
        <f t="shared" si="2"/>
        <v>27</v>
      </c>
      <c r="C39" s="13" t="s">
        <v>1656</v>
      </c>
      <c r="D39" s="13" t="s">
        <v>1657</v>
      </c>
      <c r="E39" s="7"/>
      <c r="F39" s="7" t="s">
        <v>865</v>
      </c>
      <c r="G39" s="7" t="str">
        <f t="shared" si="3"/>
        <v>text</v>
      </c>
      <c r="H39" s="58"/>
      <c r="I39" s="23"/>
      <c r="J39" s="24" t="s">
        <v>1678</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milscm_2023_009.sny_202310_base_merge_mml_lb_item.unit_code_id IS '単位コードID';</v>
      </c>
    </row>
    <row r="40" spans="1:52" s="25" customFormat="1" ht="19.5" thickBot="1">
      <c r="A40" s="4"/>
      <c r="B40" s="27">
        <f>ROW()-12</f>
        <v>28</v>
      </c>
      <c r="C40" s="57" t="s">
        <v>1658</v>
      </c>
      <c r="D40" s="57" t="s">
        <v>1659</v>
      </c>
      <c r="E40" s="56"/>
      <c r="F40" s="56" t="s">
        <v>865</v>
      </c>
      <c r="G40" s="56" t="str">
        <f t="shared" si="3"/>
        <v>text</v>
      </c>
      <c r="H40" s="59"/>
      <c r="I40" s="60"/>
      <c r="J40" s="64" t="s">
        <v>1679</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ENT_31_C4-37</v>
      </c>
      <c r="E6" s="240"/>
      <c r="F6" s="240"/>
      <c r="G6" s="240"/>
      <c r="H6" s="240"/>
      <c r="I6" s="240"/>
      <c r="J6" s="241"/>
    </row>
    <row r="7" spans="1:45">
      <c r="B7" s="229" t="s">
        <v>115</v>
      </c>
      <c r="C7" s="230"/>
      <c r="D7" s="231" t="s">
        <v>4112</v>
      </c>
      <c r="E7" s="232"/>
      <c r="F7" s="232"/>
      <c r="G7" s="232"/>
      <c r="H7" s="232"/>
      <c r="I7" s="232"/>
      <c r="J7" s="233"/>
    </row>
    <row r="8" spans="1:45">
      <c r="B8" s="229" t="s">
        <v>116</v>
      </c>
      <c r="C8" s="230"/>
      <c r="D8" s="231" t="str">
        <f>エンティティ一覧!AE2&amp;"_"&amp;D5&amp;"_merge_mml_vs_vitalsign"</f>
        <v>sny_202310_base_merge_mml_vs_vitalsign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ベース_バイタルサインモジュール_バイタルサインテーブルから組入れ条件の第一条件で絞り込んだ結果を格納するテーブル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milscm_2023_009.sny_202310_base_merge_mml_vs_vitalsign;</v>
      </c>
      <c r="O10" s="76"/>
      <c r="P10" s="76"/>
      <c r="Q10" s="76"/>
      <c r="R10" s="76"/>
      <c r="S10" s="76"/>
      <c r="T10" s="76"/>
      <c r="AJ10" s="76" t="str">
        <f>"ALTER TABLE ONLY "&amp;エンティティ一覧!$O$2&amp;"."&amp;D$8</f>
        <v>ALTER TABLE ONLY milscm_2023_009.sny_202310_base_merge_mml_vs_vitalsign</v>
      </c>
      <c r="AS10" s="76" t="str">
        <f>"ALTER TABLE "&amp;エンティティ一覧!$O$2&amp;"."&amp;D$8&amp;" OWNER TO pgmisgrp1;"</f>
        <v>ALTER TABLE milscm_2023_009.sny_202310_base_merge_mml_vs_vitalsign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milscm_2023_009.sny_202310_base_merge_mml_vs_vitalsign</v>
      </c>
      <c r="O11" s="76"/>
      <c r="P11" s="76"/>
      <c r="Q11" s="76"/>
      <c r="R11" s="76"/>
      <c r="S11" s="76"/>
      <c r="T11" s="76"/>
      <c r="AJ11" s="76" t="str">
        <f>"ADD CONSTRAINT "&amp;D$8&amp;"_pkey PRIMARY KEY"</f>
        <v>ADD CONSTRAINT sny_202310_base_merge_mml_vs_vitalsign_pkey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milscm_2023_009.sny_202310_base_merge_mml_vs_vitalsign IS 'ベース_バイタルサインモジュール_バイタルサイン';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milscm_2023_009.sny_202310_base_merge_mml_vs_vitalsign.uid IS '文書ユニークID';</v>
      </c>
    </row>
    <row r="20" spans="1:45"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milscm_2023_009.sny_202310_base_merge_mml_vs_vitalsign.vital_seq IS 'バイタルSEQ';</v>
      </c>
    </row>
    <row r="21" spans="1:45" s="25" customFormat="1">
      <c r="A21" s="4"/>
      <c r="B21" s="21">
        <f t="shared" si="2"/>
        <v>9</v>
      </c>
      <c r="C21" s="13" t="s">
        <v>1683</v>
      </c>
      <c r="D21" s="13" t="s">
        <v>1684</v>
      </c>
      <c r="E21" s="7"/>
      <c r="F21" s="7" t="s">
        <v>865</v>
      </c>
      <c r="G21" s="7" t="str">
        <f t="shared" si="3"/>
        <v>text</v>
      </c>
      <c r="H21" s="58"/>
      <c r="I21" s="23"/>
      <c r="J21" s="24" t="s">
        <v>1705</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milscm_2023_009.sny_202310_base_merge_mml_vs_vitalsign.department_name IS '診療科名';</v>
      </c>
    </row>
    <row r="22" spans="1:45" s="25" customFormat="1" ht="37.5">
      <c r="A22" s="4"/>
      <c r="B22" s="21">
        <f t="shared" si="2"/>
        <v>10</v>
      </c>
      <c r="C22" s="13" t="s">
        <v>603</v>
      </c>
      <c r="D22" s="13" t="s">
        <v>1685</v>
      </c>
      <c r="E22" s="7"/>
      <c r="F22" s="7" t="s">
        <v>865</v>
      </c>
      <c r="G22" s="7" t="str">
        <f t="shared" si="3"/>
        <v>text</v>
      </c>
      <c r="H22" s="58"/>
      <c r="I22" s="23"/>
      <c r="J22" s="24" t="s">
        <v>1706</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milscm_2023_009.sny_202310_base_merge_mml_vs_vitalsign.department_code IS '診療科コード';</v>
      </c>
    </row>
    <row r="23" spans="1:45" s="25" customFormat="1">
      <c r="A23" s="4"/>
      <c r="B23" s="21">
        <f t="shared" si="2"/>
        <v>11</v>
      </c>
      <c r="C23" s="13" t="s">
        <v>1686</v>
      </c>
      <c r="D23" s="13" t="s">
        <v>1687</v>
      </c>
      <c r="E23" s="7"/>
      <c r="F23" s="7" t="s">
        <v>865</v>
      </c>
      <c r="G23" s="7" t="str">
        <f t="shared" si="3"/>
        <v>text</v>
      </c>
      <c r="H23" s="58"/>
      <c r="I23" s="23"/>
      <c r="J23" s="24" t="s">
        <v>1707</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1708</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milscm_2023_009.sny_202310_base_merge_mml_vs_vitalsign.ward_code IS '病棟コード';</v>
      </c>
    </row>
    <row r="25" spans="1:45" s="25" customFormat="1" ht="37.5">
      <c r="A25" s="4"/>
      <c r="B25" s="21">
        <f t="shared" si="2"/>
        <v>13</v>
      </c>
      <c r="C25" s="13" t="s">
        <v>1688</v>
      </c>
      <c r="D25" s="13" t="s">
        <v>1689</v>
      </c>
      <c r="E25" s="7"/>
      <c r="F25" s="7" t="s">
        <v>865</v>
      </c>
      <c r="G25" s="7" t="str">
        <f t="shared" si="3"/>
        <v>text</v>
      </c>
      <c r="H25" s="58"/>
      <c r="I25" s="23"/>
      <c r="J25" s="24" t="s">
        <v>1709</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milscm_2023_009.sny_202310_base_merge_mml_vs_vitalsign.ward_code_id IS '病棟コードID';</v>
      </c>
    </row>
    <row r="26" spans="1:45" s="25" customFormat="1" ht="37.5">
      <c r="A26" s="4"/>
      <c r="B26" s="21">
        <f t="shared" si="2"/>
        <v>14</v>
      </c>
      <c r="C26" s="13" t="s">
        <v>1690</v>
      </c>
      <c r="D26" s="13" t="s">
        <v>1691</v>
      </c>
      <c r="E26" s="7"/>
      <c r="F26" s="7" t="s">
        <v>865</v>
      </c>
      <c r="G26" s="7" t="str">
        <f t="shared" si="3"/>
        <v>text</v>
      </c>
      <c r="H26" s="58"/>
      <c r="I26" s="23"/>
      <c r="J26" s="24" t="s">
        <v>1710</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milscm_2023_009.sny_202310_base_merge_mml_vs_vitalsign.vital_sign_time IS 'バイタルサインの計測時間';</v>
      </c>
    </row>
    <row r="27" spans="1:45" s="25" customFormat="1">
      <c r="A27" s="4"/>
      <c r="B27" s="21">
        <f t="shared" si="2"/>
        <v>15</v>
      </c>
      <c r="C27" s="13" t="s">
        <v>1692</v>
      </c>
      <c r="D27" s="13" t="s">
        <v>1693</v>
      </c>
      <c r="E27" s="7"/>
      <c r="F27" s="7" t="s">
        <v>865</v>
      </c>
      <c r="G27" s="7" t="str">
        <f t="shared" si="3"/>
        <v>text</v>
      </c>
      <c r="H27" s="58"/>
      <c r="I27" s="23"/>
      <c r="J27" s="24" t="s">
        <v>1711</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milscm_2023_009.sny_202310_base_merge_mml_vs_vitalsign.keisoku_tejun IS '計測手順';</v>
      </c>
    </row>
    <row r="28" spans="1:45" s="25" customFormat="1">
      <c r="A28" s="4"/>
      <c r="B28" s="21">
        <f t="shared" si="2"/>
        <v>16</v>
      </c>
      <c r="C28" s="13" t="s">
        <v>1694</v>
      </c>
      <c r="D28" s="13" t="s">
        <v>1695</v>
      </c>
      <c r="E28" s="7"/>
      <c r="F28" s="7" t="s">
        <v>865</v>
      </c>
      <c r="G28" s="7" t="str">
        <f t="shared" si="3"/>
        <v>text</v>
      </c>
      <c r="H28" s="58"/>
      <c r="I28" s="23"/>
      <c r="J28" s="24" t="s">
        <v>1712</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milscm_2023_009.sny_202310_base_merge_mml_vs_vitalsign.keisoku_device IS '計測器具';</v>
      </c>
    </row>
    <row r="29" spans="1:45" s="25" customFormat="1">
      <c r="A29" s="4"/>
      <c r="B29" s="21">
        <f t="shared" si="2"/>
        <v>17</v>
      </c>
      <c r="C29" s="13" t="s">
        <v>1696</v>
      </c>
      <c r="D29" s="13" t="s">
        <v>1697</v>
      </c>
      <c r="E29" s="7"/>
      <c r="F29" s="7" t="s">
        <v>865</v>
      </c>
      <c r="G29" s="7" t="str">
        <f t="shared" si="3"/>
        <v>text</v>
      </c>
      <c r="H29" s="58"/>
      <c r="I29" s="23"/>
      <c r="J29" s="24" t="s">
        <v>1713</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milscm_2023_009.sny_202310_base_merge_mml_vs_vitalsign.keisoku_bui IS '計測部位';</v>
      </c>
    </row>
    <row r="30" spans="1:45" s="25" customFormat="1">
      <c r="A30" s="4"/>
      <c r="B30" s="21">
        <f t="shared" si="2"/>
        <v>18</v>
      </c>
      <c r="C30" s="13" t="s">
        <v>1698</v>
      </c>
      <c r="D30" s="13" t="s">
        <v>1699</v>
      </c>
      <c r="E30" s="7"/>
      <c r="F30" s="7" t="s">
        <v>865</v>
      </c>
      <c r="G30" s="7" t="str">
        <f t="shared" si="3"/>
        <v>text</v>
      </c>
      <c r="H30" s="58"/>
      <c r="I30" s="23"/>
      <c r="J30" s="24" t="s">
        <v>1714</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milscm_2023_009.sny_202310_base_merge_mml_vs_vitalsign.keisoku_position IS '計測時体位';</v>
      </c>
    </row>
    <row r="31" spans="1:45" s="25" customFormat="1" ht="31.5">
      <c r="A31" s="4"/>
      <c r="B31" s="21">
        <f t="shared" si="2"/>
        <v>19</v>
      </c>
      <c r="C31" s="13" t="s">
        <v>1700</v>
      </c>
      <c r="D31" s="13" t="s">
        <v>1701</v>
      </c>
      <c r="E31" s="7"/>
      <c r="F31" s="7" t="s">
        <v>865</v>
      </c>
      <c r="G31" s="7" t="str">
        <f t="shared" si="3"/>
        <v>text</v>
      </c>
      <c r="H31" s="58"/>
      <c r="I31" s="23"/>
      <c r="J31" s="24" t="s">
        <v>1715</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milscm_2023_009.sny_202310_base_merge_mml_vs_vitalsign.keisoku_method_comment IS '計測方法コメント';</v>
      </c>
    </row>
    <row r="32" spans="1:45" s="25" customFormat="1" ht="19.5" thickBot="1">
      <c r="A32" s="4"/>
      <c r="B32" s="27">
        <f>ROW()-12</f>
        <v>20</v>
      </c>
      <c r="C32" s="57" t="s">
        <v>1702</v>
      </c>
      <c r="D32" s="57" t="s">
        <v>1703</v>
      </c>
      <c r="E32" s="56"/>
      <c r="F32" s="56" t="s">
        <v>865</v>
      </c>
      <c r="G32" s="56" t="str">
        <f t="shared" si="3"/>
        <v>text</v>
      </c>
      <c r="H32" s="59"/>
      <c r="I32" s="60"/>
      <c r="J32" s="64" t="s">
        <v>1716</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ENT_31_C4-38</v>
      </c>
      <c r="E6" s="240"/>
      <c r="F6" s="240"/>
      <c r="G6" s="240"/>
      <c r="H6" s="240"/>
      <c r="I6" s="240"/>
      <c r="J6" s="241"/>
    </row>
    <row r="7" spans="1:45">
      <c r="B7" s="229" t="s">
        <v>115</v>
      </c>
      <c r="C7" s="230"/>
      <c r="D7" s="231" t="s">
        <v>4111</v>
      </c>
      <c r="E7" s="232"/>
      <c r="F7" s="232"/>
      <c r="G7" s="232"/>
      <c r="H7" s="232"/>
      <c r="I7" s="232"/>
      <c r="J7" s="233"/>
    </row>
    <row r="8" spans="1:45">
      <c r="B8" s="229" t="s">
        <v>116</v>
      </c>
      <c r="C8" s="230"/>
      <c r="D8" s="231" t="str">
        <f>エンティティ一覧!AE2&amp;"_"&amp;D5&amp;"_merge_mml_vs_item"</f>
        <v>sny_202310_base_merge_mml_vs_item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ベース_バイタルサインモジュール_記録項目テーブルから組入れ条件の第一条件で絞り込んだ結果を格納するテーブル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milscm_2023_009.sny_202310_base_merge_mml_vs_item;</v>
      </c>
      <c r="O10" s="76"/>
      <c r="P10" s="76"/>
      <c r="Q10" s="76"/>
      <c r="R10" s="76"/>
      <c r="S10" s="76"/>
      <c r="T10" s="76"/>
      <c r="AJ10" s="76" t="str">
        <f>"ALTER TABLE ONLY "&amp;エンティティ一覧!$O$2&amp;"."&amp;D$8</f>
        <v>ALTER TABLE ONLY milscm_2023_009.sny_202310_base_merge_mml_vs_item</v>
      </c>
      <c r="AS10" s="76" t="str">
        <f>"ALTER TABLE "&amp;エンティティ一覧!$O$2&amp;"."&amp;D$8&amp;" OWNER TO pgmisgrp1;"</f>
        <v>ALTER TABLE milscm_2023_009.sny_202310_base_merge_mml_vs_item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milscm_2023_009.sny_202310_base_merge_mml_vs_item</v>
      </c>
      <c r="O11" s="76"/>
      <c r="P11" s="76"/>
      <c r="Q11" s="76"/>
      <c r="R11" s="76"/>
      <c r="S11" s="76"/>
      <c r="T11" s="76"/>
      <c r="AJ11" s="76" t="str">
        <f>"ADD CONSTRAINT "&amp;D$8&amp;"_pkey PRIMARY KEY"</f>
        <v>ADD CONSTRAINT sny_202310_base_merge_mml_vs_item_pkey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milscm_2023_009.sny_202310_base_merge_mml_vs_item IS 'ベース_バイタルサインモジュール_記録項目';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milscm_2023_009.sny_202310_base_merge_mml_vs_item.uid IS '文書ユニークID';</v>
      </c>
    </row>
    <row r="20" spans="1:52"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milscm_2023_009.sny_202310_base_merge_mml_vs_item.vital_seq IS 'バイタルSEQ';</v>
      </c>
    </row>
    <row r="21" spans="1:52" s="25" customFormat="1">
      <c r="A21" s="4"/>
      <c r="B21" s="21">
        <f t="shared" si="2"/>
        <v>9</v>
      </c>
      <c r="C21" s="13" t="s">
        <v>1718</v>
      </c>
      <c r="D21" s="13" t="s">
        <v>1719</v>
      </c>
      <c r="E21" s="7" t="s">
        <v>127</v>
      </c>
      <c r="F21" s="7" t="s">
        <v>204</v>
      </c>
      <c r="G21" s="7" t="str">
        <f t="shared" si="3"/>
        <v>integer</v>
      </c>
      <c r="H21" s="58"/>
      <c r="I21" s="23" t="s">
        <v>127</v>
      </c>
      <c r="J21" s="24" t="s">
        <v>1726</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milscm_2023_009.sny_202310_base_merge_mml_vs_item.item_seq IS '項目SEQ';</v>
      </c>
    </row>
    <row r="22" spans="1:52" s="25" customFormat="1" ht="37.5">
      <c r="A22" s="4"/>
      <c r="B22" s="21">
        <f t="shared" si="2"/>
        <v>10</v>
      </c>
      <c r="C22" s="13" t="s">
        <v>1625</v>
      </c>
      <c r="D22" s="13" t="s">
        <v>1626</v>
      </c>
      <c r="E22" s="7"/>
      <c r="F22" s="7" t="s">
        <v>865</v>
      </c>
      <c r="G22" s="7" t="str">
        <f t="shared" si="3"/>
        <v>text</v>
      </c>
      <c r="H22" s="58"/>
      <c r="I22" s="23"/>
      <c r="J22" s="24" t="s">
        <v>1727</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milscm_2023_009.sny_202310_base_merge_mml_vs_item.item_name IS '項目名';</v>
      </c>
    </row>
    <row r="23" spans="1:52" s="25" customFormat="1" ht="31.5">
      <c r="A23" s="4"/>
      <c r="B23" s="21">
        <f t="shared" si="2"/>
        <v>11</v>
      </c>
      <c r="C23" s="13" t="s">
        <v>1720</v>
      </c>
      <c r="D23" s="13" t="s">
        <v>1721</v>
      </c>
      <c r="E23" s="7"/>
      <c r="F23" s="7" t="s">
        <v>865</v>
      </c>
      <c r="G23" s="7" t="str">
        <f t="shared" si="3"/>
        <v>text</v>
      </c>
      <c r="H23" s="58"/>
      <c r="I23" s="23"/>
      <c r="J23" s="24" t="s">
        <v>1728</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milscm_2023_009.sny_202310_base_merge_mml_vs_item.vital_sign_value IS '文字列で表記されるバイタルサインの値';</v>
      </c>
    </row>
    <row r="24" spans="1:52" s="25" customFormat="1">
      <c r="A24" s="4"/>
      <c r="B24" s="21">
        <f t="shared" si="2"/>
        <v>12</v>
      </c>
      <c r="C24" s="13" t="s">
        <v>1722</v>
      </c>
      <c r="D24" s="13" t="s">
        <v>1723</v>
      </c>
      <c r="E24" s="7"/>
      <c r="F24" s="7" t="s">
        <v>865</v>
      </c>
      <c r="G24" s="7" t="str">
        <f t="shared" si="3"/>
        <v>text</v>
      </c>
      <c r="H24" s="58"/>
      <c r="I24" s="23"/>
      <c r="J24" s="24" t="s">
        <v>1729</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milscm_2023_009.sny_202310_base_merge_mml_vs_item.vital_sign_num_value IS '数値で表記されるバイタルサインの値';</v>
      </c>
    </row>
    <row r="25" spans="1:52" s="25" customFormat="1" ht="38.25" thickBot="1">
      <c r="A25" s="4"/>
      <c r="B25" s="27">
        <f>ROW()-12</f>
        <v>13</v>
      </c>
      <c r="C25" s="57" t="s">
        <v>1724</v>
      </c>
      <c r="D25" s="57" t="s">
        <v>1725</v>
      </c>
      <c r="E25" s="56"/>
      <c r="F25" s="56" t="s">
        <v>865</v>
      </c>
      <c r="G25" s="56" t="str">
        <f t="shared" si="3"/>
        <v>text</v>
      </c>
      <c r="H25" s="59"/>
      <c r="I25" s="60"/>
      <c r="J25" s="64" t="s">
        <v>1730</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ENT_31_C4-40</v>
      </c>
      <c r="E6" s="240"/>
      <c r="F6" s="240"/>
      <c r="G6" s="240"/>
      <c r="H6" s="240"/>
      <c r="I6" s="240"/>
      <c r="J6" s="241"/>
    </row>
    <row r="7" spans="1:45">
      <c r="B7" s="229" t="s">
        <v>115</v>
      </c>
      <c r="C7" s="230"/>
      <c r="D7" s="231" t="s">
        <v>4110</v>
      </c>
      <c r="E7" s="232"/>
      <c r="F7" s="232"/>
      <c r="G7" s="232"/>
      <c r="H7" s="232"/>
      <c r="I7" s="232"/>
      <c r="J7" s="233"/>
    </row>
    <row r="8" spans="1:45">
      <c r="B8" s="229" t="s">
        <v>116</v>
      </c>
      <c r="C8" s="230"/>
      <c r="D8" s="231" t="str">
        <f>エンティティ一覧!AE2&amp;"_"&amp;D5&amp;"_merge_mml_fs_vitalsign"</f>
        <v>sny_202310_base_merge_mml_fs_vitalsign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ベース_体温表モジュール_バイタルサインテーブルから組入れ条件の第一条件で絞り込んだ結果を格納するテーブル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milscm_2023_009.sny_202310_base_merge_mml_fs_vitalsign;</v>
      </c>
      <c r="O10" s="76"/>
      <c r="P10" s="76"/>
      <c r="Q10" s="76"/>
      <c r="R10" s="76"/>
      <c r="S10" s="76"/>
      <c r="T10" s="76"/>
      <c r="AJ10" s="76" t="str">
        <f>"ALTER TABLE ONLY "&amp;エンティティ一覧!$O$2&amp;"."&amp;D$8</f>
        <v>ALTER TABLE ONLY milscm_2023_009.sny_202310_base_merge_mml_fs_vitalsign</v>
      </c>
      <c r="AS10" s="76" t="str">
        <f>"ALTER TABLE "&amp;エンティティ一覧!$O$2&amp;"."&amp;D$8&amp;" OWNER TO pgmisgrp1;"</f>
        <v>ALTER TABLE milscm_2023_009.sny_202310_base_merge_mml_fs_vitalsign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milscm_2023_009.sny_202310_base_merge_mml_fs_vitalsign</v>
      </c>
      <c r="O11" s="76"/>
      <c r="P11" s="76"/>
      <c r="Q11" s="76"/>
      <c r="R11" s="76"/>
      <c r="S11" s="76"/>
      <c r="T11" s="76"/>
      <c r="AJ11" s="76" t="str">
        <f>"ADD CONSTRAINT "&amp;D$8&amp;"_pkey PRIMARY KEY"</f>
        <v>ADD CONSTRAINT sny_202310_base_merge_mml_fs_vitalsign_pkey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milscm_2023_009.sny_202310_base_merge_mml_fs_vitalsign IS 'ベース_体温表モジュール_バイタルサイン';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milscm_2023_009.sny_202310_base_merge_mml_fs_vitalsign.uid IS '文書ユニークID';</v>
      </c>
    </row>
    <row r="20" spans="1:45"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milscm_2023_009.sny_202310_base_merge_mml_fs_vitalsign.taionhyo_seq IS '体温表SEQ';</v>
      </c>
    </row>
    <row r="21" spans="1:45"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milscm_2023_009.sny_202310_base_merge_mml_fs_vitalsign.vital_seq IS 'バイタルSEQ';</v>
      </c>
    </row>
    <row r="22" spans="1:45" s="25" customFormat="1">
      <c r="A22" s="4"/>
      <c r="B22" s="21">
        <f t="shared" si="2"/>
        <v>10</v>
      </c>
      <c r="C22" s="13" t="s">
        <v>1683</v>
      </c>
      <c r="D22" s="13" t="s">
        <v>1684</v>
      </c>
      <c r="E22" s="7"/>
      <c r="F22" s="7" t="s">
        <v>865</v>
      </c>
      <c r="G22" s="7" t="str">
        <f t="shared" si="3"/>
        <v>text</v>
      </c>
      <c r="H22" s="58"/>
      <c r="I22" s="23"/>
      <c r="J22" s="24" t="s">
        <v>1705</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milscm_2023_009.sny_202310_base_merge_mml_fs_vitalsign.department_name IS '診療科名';</v>
      </c>
    </row>
    <row r="23" spans="1:45" s="25" customFormat="1" ht="37.5">
      <c r="A23" s="4"/>
      <c r="B23" s="21">
        <f t="shared" si="2"/>
        <v>11</v>
      </c>
      <c r="C23" s="13" t="s">
        <v>603</v>
      </c>
      <c r="D23" s="13" t="s">
        <v>1685</v>
      </c>
      <c r="E23" s="7"/>
      <c r="F23" s="7" t="s">
        <v>865</v>
      </c>
      <c r="G23" s="7" t="str">
        <f t="shared" si="3"/>
        <v>text</v>
      </c>
      <c r="H23" s="58"/>
      <c r="I23" s="23"/>
      <c r="J23" s="24" t="s">
        <v>1706</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milscm_2023_009.sny_202310_base_merge_mml_fs_vitalsign.department_code IS '診療科コード';</v>
      </c>
    </row>
    <row r="24" spans="1:45" s="25" customFormat="1">
      <c r="A24" s="4"/>
      <c r="B24" s="21">
        <f t="shared" si="2"/>
        <v>12</v>
      </c>
      <c r="C24" s="13" t="s">
        <v>1686</v>
      </c>
      <c r="D24" s="13" t="s">
        <v>1687</v>
      </c>
      <c r="E24" s="7"/>
      <c r="F24" s="7" t="s">
        <v>865</v>
      </c>
      <c r="G24" s="7" t="str">
        <f t="shared" si="3"/>
        <v>text</v>
      </c>
      <c r="H24" s="58"/>
      <c r="I24" s="23"/>
      <c r="J24" s="24" t="s">
        <v>1707</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1708</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milscm_2023_009.sny_202310_base_merge_mml_fs_vitalsign.ward_code IS '病棟コード';</v>
      </c>
    </row>
    <row r="26" spans="1:45" s="25" customFormat="1" ht="37.5">
      <c r="A26" s="4"/>
      <c r="B26" s="21">
        <f t="shared" si="2"/>
        <v>14</v>
      </c>
      <c r="C26" s="13" t="s">
        <v>1688</v>
      </c>
      <c r="D26" s="13" t="s">
        <v>1689</v>
      </c>
      <c r="E26" s="7"/>
      <c r="F26" s="7" t="s">
        <v>865</v>
      </c>
      <c r="G26" s="7" t="str">
        <f t="shared" si="3"/>
        <v>text</v>
      </c>
      <c r="H26" s="58"/>
      <c r="I26" s="23"/>
      <c r="J26" s="24" t="s">
        <v>1709</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milscm_2023_009.sny_202310_base_merge_mml_fs_vitalsign.ward_code_id IS '病棟コードID';</v>
      </c>
    </row>
    <row r="27" spans="1:45" s="25" customFormat="1">
      <c r="A27" s="4"/>
      <c r="B27" s="21">
        <f t="shared" si="2"/>
        <v>15</v>
      </c>
      <c r="C27" s="13" t="s">
        <v>1690</v>
      </c>
      <c r="D27" s="13" t="s">
        <v>1691</v>
      </c>
      <c r="E27" s="7"/>
      <c r="F27" s="7" t="s">
        <v>865</v>
      </c>
      <c r="G27" s="7" t="str">
        <f t="shared" si="3"/>
        <v>text</v>
      </c>
      <c r="H27" s="58"/>
      <c r="I27" s="23"/>
      <c r="J27" s="24" t="s">
        <v>1299</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milscm_2023_009.sny_202310_base_merge_mml_fs_vitalsign.vital_sign_time IS 'バイタルサインの計測時間';</v>
      </c>
    </row>
    <row r="28" spans="1:45" s="25" customFormat="1">
      <c r="A28" s="4"/>
      <c r="B28" s="21">
        <f t="shared" si="2"/>
        <v>16</v>
      </c>
      <c r="C28" s="13" t="s">
        <v>1692</v>
      </c>
      <c r="D28" s="13" t="s">
        <v>1693</v>
      </c>
      <c r="E28" s="7"/>
      <c r="F28" s="7" t="s">
        <v>865</v>
      </c>
      <c r="G28" s="7" t="str">
        <f t="shared" si="3"/>
        <v>text</v>
      </c>
      <c r="H28" s="58"/>
      <c r="I28" s="23"/>
      <c r="J28" s="24" t="s">
        <v>1711</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milscm_2023_009.sny_202310_base_merge_mml_fs_vitalsign.keisoku_tejun IS '計測手順';</v>
      </c>
    </row>
    <row r="29" spans="1:45" s="25" customFormat="1">
      <c r="A29" s="4"/>
      <c r="B29" s="21">
        <f t="shared" si="2"/>
        <v>17</v>
      </c>
      <c r="C29" s="13" t="s">
        <v>1694</v>
      </c>
      <c r="D29" s="13" t="s">
        <v>1695</v>
      </c>
      <c r="E29" s="7"/>
      <c r="F29" s="7" t="s">
        <v>865</v>
      </c>
      <c r="G29" s="7" t="str">
        <f t="shared" si="3"/>
        <v>text</v>
      </c>
      <c r="H29" s="58"/>
      <c r="I29" s="23"/>
      <c r="J29" s="24" t="s">
        <v>1712</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milscm_2023_009.sny_202310_base_merge_mml_fs_vitalsign.keisoku_device IS '計測器具';</v>
      </c>
    </row>
    <row r="30" spans="1:45" s="25" customFormat="1">
      <c r="A30" s="4"/>
      <c r="B30" s="21">
        <f t="shared" si="2"/>
        <v>18</v>
      </c>
      <c r="C30" s="13" t="s">
        <v>1696</v>
      </c>
      <c r="D30" s="13" t="s">
        <v>1697</v>
      </c>
      <c r="E30" s="7"/>
      <c r="F30" s="7" t="s">
        <v>865</v>
      </c>
      <c r="G30" s="7" t="str">
        <f t="shared" si="3"/>
        <v>text</v>
      </c>
      <c r="H30" s="58"/>
      <c r="I30" s="23"/>
      <c r="J30" s="24" t="s">
        <v>1713</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milscm_2023_009.sny_202310_base_merge_mml_fs_vitalsign.keisoku_bui IS '計測部位';</v>
      </c>
    </row>
    <row r="31" spans="1:45" s="25" customFormat="1">
      <c r="A31" s="4"/>
      <c r="B31" s="21">
        <f t="shared" si="2"/>
        <v>19</v>
      </c>
      <c r="C31" s="13" t="s">
        <v>1698</v>
      </c>
      <c r="D31" s="13" t="s">
        <v>1699</v>
      </c>
      <c r="E31" s="7"/>
      <c r="F31" s="7" t="s">
        <v>865</v>
      </c>
      <c r="G31" s="7" t="str">
        <f t="shared" si="3"/>
        <v>text</v>
      </c>
      <c r="H31" s="58"/>
      <c r="I31" s="23"/>
      <c r="J31" s="24" t="s">
        <v>1714</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milscm_2023_009.sny_202310_base_merge_mml_fs_vitalsign.keisoku_position IS '計測時体位';</v>
      </c>
    </row>
    <row r="32" spans="1:45" s="25" customFormat="1" ht="31.5">
      <c r="A32" s="4"/>
      <c r="B32" s="21">
        <f t="shared" si="2"/>
        <v>20</v>
      </c>
      <c r="C32" s="13" t="s">
        <v>1700</v>
      </c>
      <c r="D32" s="13" t="s">
        <v>1701</v>
      </c>
      <c r="E32" s="7"/>
      <c r="F32" s="7" t="s">
        <v>865</v>
      </c>
      <c r="G32" s="7" t="str">
        <f t="shared" si="3"/>
        <v>text</v>
      </c>
      <c r="H32" s="58"/>
      <c r="I32" s="23"/>
      <c r="J32" s="24" t="s">
        <v>1715</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milscm_2023_009.sny_202310_base_merge_mml_fs_vitalsign.keisoku_method_comment IS '計測方法コメント';</v>
      </c>
    </row>
    <row r="33" spans="1:52" s="25" customFormat="1" ht="19.5" thickBot="1">
      <c r="A33" s="4"/>
      <c r="B33" s="27">
        <f>ROW()-12</f>
        <v>21</v>
      </c>
      <c r="C33" s="57" t="s">
        <v>1702</v>
      </c>
      <c r="D33" s="57" t="s">
        <v>1703</v>
      </c>
      <c r="E33" s="56"/>
      <c r="F33" s="56" t="s">
        <v>865</v>
      </c>
      <c r="G33" s="56" t="str">
        <f t="shared" si="3"/>
        <v>text</v>
      </c>
      <c r="H33" s="59"/>
      <c r="I33" s="60"/>
      <c r="J33" s="64" t="s">
        <v>1716</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12" zoomScale="85" zoomScaleNormal="85" workbookViewId="0">
      <selection activeCell="D20" sqref="D20:D21"/>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ENT_31_C4-41</v>
      </c>
      <c r="E6" s="240"/>
      <c r="F6" s="240"/>
      <c r="G6" s="240"/>
      <c r="H6" s="240"/>
      <c r="I6" s="240"/>
      <c r="J6" s="241"/>
    </row>
    <row r="7" spans="1:45">
      <c r="B7" s="229" t="s">
        <v>115</v>
      </c>
      <c r="C7" s="230"/>
      <c r="D7" s="231" t="s">
        <v>4109</v>
      </c>
      <c r="E7" s="232"/>
      <c r="F7" s="232"/>
      <c r="G7" s="232"/>
      <c r="H7" s="232"/>
      <c r="I7" s="232"/>
      <c r="J7" s="233"/>
    </row>
    <row r="8" spans="1:45">
      <c r="B8" s="229" t="s">
        <v>116</v>
      </c>
      <c r="C8" s="230"/>
      <c r="D8" s="231" t="str">
        <f>エンティティ一覧!AE2&amp;"_"&amp;D5&amp;"_merge_mml_fs_item"</f>
        <v>sny_202310_base_merge_mml_fs_item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ベース_体温表モジュール_記録項目テーブルから組入れ条件の第一条件で絞り込んだ結果を格納するテーブル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milscm_2023_009.sny_202310_base_merge_mml_fs_item;</v>
      </c>
      <c r="O10" s="76"/>
      <c r="P10" s="76"/>
      <c r="Q10" s="76"/>
      <c r="R10" s="76"/>
      <c r="S10" s="76"/>
      <c r="T10" s="76"/>
      <c r="AJ10" s="76" t="str">
        <f>"ALTER TABLE ONLY "&amp;エンティティ一覧!$O$2&amp;"."&amp;D$8</f>
        <v>ALTER TABLE ONLY milscm_2023_009.sny_202310_base_merge_mml_fs_item</v>
      </c>
      <c r="AS10" s="76" t="str">
        <f>"ALTER TABLE "&amp;エンティティ一覧!$O$2&amp;"."&amp;D$8&amp;" OWNER TO pgmisgrp1;"</f>
        <v>ALTER TABLE milscm_2023_009.sny_202310_base_merge_mml_fs_item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milscm_2023_009.sny_202310_base_merge_mml_fs_item</v>
      </c>
      <c r="O11" s="76"/>
      <c r="P11" s="76"/>
      <c r="Q11" s="76"/>
      <c r="R11" s="76"/>
      <c r="S11" s="76"/>
      <c r="T11" s="76"/>
      <c r="AJ11" s="76" t="str">
        <f>"ADD CONSTRAINT "&amp;D$8&amp;"_pkey PRIMARY KEY"</f>
        <v>ADD CONSTRAINT sny_202310_base_merge_mml_fs_item_pkey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milscm_2023_009.sny_202310_base_merge_mml_fs_item IS 'ベース_体温表モジュール_記録項目';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milscm_2023_009.sny_202310_base_merge_mml_fs_item.uid IS '文書ユニークID';</v>
      </c>
    </row>
    <row r="20" spans="1:52"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milscm_2023_009.sny_202310_base_merge_mml_fs_item.taionhyo_seq IS '体温表SEQ';</v>
      </c>
    </row>
    <row r="21" spans="1:52"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milscm_2023_009.sny_202310_base_merge_mml_fs_item.vital_seq IS 'バイタルSEQ';</v>
      </c>
    </row>
    <row r="22" spans="1:52" s="25" customFormat="1">
      <c r="A22" s="4"/>
      <c r="B22" s="21">
        <f t="shared" si="2"/>
        <v>10</v>
      </c>
      <c r="C22" s="13" t="s">
        <v>1736</v>
      </c>
      <c r="D22" s="13" t="s">
        <v>1719</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milscm_2023_009.sny_202310_base_merge_mml_fs_item.item_seq IS '項目SEQ';</v>
      </c>
    </row>
    <row r="23" spans="1:52" s="25" customFormat="1">
      <c r="A23" s="4"/>
      <c r="B23" s="21">
        <f t="shared" si="2"/>
        <v>11</v>
      </c>
      <c r="C23" s="13" t="s">
        <v>1625</v>
      </c>
      <c r="D23" s="13" t="s">
        <v>1626</v>
      </c>
      <c r="E23" s="7"/>
      <c r="F23" s="7" t="s">
        <v>865</v>
      </c>
      <c r="G23" s="7" t="str">
        <f t="shared" si="3"/>
        <v>text</v>
      </c>
      <c r="H23" s="58"/>
      <c r="I23" s="23"/>
      <c r="J23" s="24"/>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milscm_2023_009.sny_202310_base_merge_mml_fs_item.item_name IS '項目名';</v>
      </c>
    </row>
    <row r="24" spans="1:52" s="25" customFormat="1" ht="31.5">
      <c r="A24" s="4"/>
      <c r="B24" s="21">
        <f t="shared" si="2"/>
        <v>12</v>
      </c>
      <c r="C24" s="13" t="s">
        <v>1720</v>
      </c>
      <c r="D24" s="13" t="s">
        <v>1721</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milscm_2023_009.sny_202310_base_merge_mml_fs_item.vital_sign_value IS '文字列で表記されるバイタルサインの値';</v>
      </c>
    </row>
    <row r="25" spans="1:52" s="25" customFormat="1">
      <c r="A25" s="4"/>
      <c r="B25" s="21">
        <f t="shared" si="2"/>
        <v>13</v>
      </c>
      <c r="C25" s="13" t="s">
        <v>1722</v>
      </c>
      <c r="D25" s="13" t="s">
        <v>1723</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milscm_2023_009.sny_202310_base_merge_mml_fs_item.vital_sign_num_value IS '数値で表記されるバイタルサインの値';</v>
      </c>
    </row>
    <row r="26" spans="1:52" s="25" customFormat="1" ht="19.5" thickBot="1">
      <c r="A26" s="4"/>
      <c r="B26" s="27">
        <f>ROW()-12</f>
        <v>14</v>
      </c>
      <c r="C26" s="57" t="s">
        <v>1724</v>
      </c>
      <c r="D26" s="57" t="s">
        <v>1725</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ENT_41_01</v>
      </c>
      <c r="E6" s="240"/>
      <c r="F6" s="240"/>
      <c r="G6" s="240"/>
      <c r="H6" s="240"/>
      <c r="I6" s="240"/>
      <c r="J6" s="241"/>
    </row>
    <row r="7" spans="1:45">
      <c r="B7" s="229" t="s">
        <v>115</v>
      </c>
      <c r="C7" s="230"/>
      <c r="D7" s="231" t="s">
        <v>4178</v>
      </c>
      <c r="E7" s="232"/>
      <c r="F7" s="232"/>
      <c r="G7" s="232"/>
      <c r="H7" s="232"/>
      <c r="I7" s="232"/>
      <c r="J7" s="233"/>
    </row>
    <row r="8" spans="1:45">
      <c r="B8" s="229" t="s">
        <v>116</v>
      </c>
      <c r="C8" s="230"/>
      <c r="D8" s="231" t="str">
        <f>エンティティ一覧!AE2&amp;"_"&amp;D5&amp;"_patient_basic"</f>
        <v>sny_202310_work_patient_basic</v>
      </c>
      <c r="E8" s="232"/>
      <c r="F8" s="232"/>
      <c r="G8" s="232"/>
      <c r="H8" s="232"/>
      <c r="I8" s="232"/>
      <c r="J8" s="233"/>
    </row>
    <row r="9" spans="1:45" ht="19.5" customHeight="1" thickBot="1">
      <c r="B9" s="234" t="s">
        <v>117</v>
      </c>
      <c r="C9" s="235"/>
      <c r="D9" s="236" t="s">
        <v>4182</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milscm_2023_009.sny_202310_work_patient_basic;</v>
      </c>
      <c r="O10" s="76"/>
      <c r="P10" s="76"/>
      <c r="Q10" s="76"/>
      <c r="R10" s="76"/>
      <c r="S10" s="76"/>
      <c r="T10" s="76"/>
      <c r="AJ10" s="76" t="str">
        <f>"ALTER TABLE ONLY "&amp;エンティティ一覧!$O$2&amp;"."&amp;D$8</f>
        <v>ALTER TABLE ONLY milscm_2023_009.sny_202310_work_patient_basic</v>
      </c>
      <c r="AS10" s="76" t="str">
        <f>"ALTER TABLE "&amp;エンティティ一覧!$O$2&amp;"."&amp;D$8&amp;" OWNER TO pgmisgrp1;"</f>
        <v>ALTER TABLE milscm_2023_009.sny_202310_work_patient_basic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milscm_2023_009.sny_202310_work_patient_basic</v>
      </c>
      <c r="O11" s="76"/>
      <c r="P11" s="76"/>
      <c r="Q11" s="76"/>
      <c r="R11" s="76"/>
      <c r="S11" s="76"/>
      <c r="T11" s="76"/>
      <c r="AJ11" s="76" t="str">
        <f>"ADD CONSTRAINT "&amp;D$8&amp;"_pkey PRIMARY KEY"</f>
        <v>ADD CONSTRAINT sny_202310_work_patient_basic_pkey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milscm_2023_009.sny_202310_work_patient_basic IS 'ワーク_患者基本データ';</v>
      </c>
    </row>
    <row r="13" spans="1:45" s="25" customFormat="1">
      <c r="A13" s="4"/>
      <c r="B13" s="21">
        <f>ROW()-12</f>
        <v>1</v>
      </c>
      <c r="C13" s="6" t="s">
        <v>4073</v>
      </c>
      <c r="D13" s="6" t="s">
        <v>4074</v>
      </c>
      <c r="E13" s="8" t="s">
        <v>127</v>
      </c>
      <c r="F13" s="8" t="s">
        <v>4179</v>
      </c>
      <c r="G13" s="7" t="str">
        <f>IF(F13="フラグ","boolean",IF(F13="文字列","text",IF(F13="整数","integer",IF(F13="実数","numeric",""))))</f>
        <v>text</v>
      </c>
      <c r="H13" s="9"/>
      <c r="I13" s="10" t="s">
        <v>127</v>
      </c>
      <c r="J13" s="11"/>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milscm_2023_009.sny_202310_work_patient_basic.mask_id IS 'マスクID';</v>
      </c>
    </row>
    <row r="14" spans="1:45" s="25" customFormat="1">
      <c r="A14" s="4"/>
      <c r="B14" s="21">
        <f t="shared" ref="B14:B15" si="2">ROW()-12</f>
        <v>2</v>
      </c>
      <c r="C14" s="6" t="s">
        <v>1246</v>
      </c>
      <c r="D14" s="6" t="s">
        <v>208</v>
      </c>
      <c r="E14" s="8" t="s">
        <v>127</v>
      </c>
      <c r="F14" s="7" t="s">
        <v>3820</v>
      </c>
      <c r="G14" s="7" t="str">
        <f t="shared" ref="G14:G16" si="3">IF(F14="フラグ","boolean",IF(F14="文字列","text",IF(F14="整数","integer",IF(F14="実数","numeric",""))))</f>
        <v>text</v>
      </c>
      <c r="H14" s="26"/>
      <c r="I14" s="10" t="s">
        <v>127</v>
      </c>
      <c r="J14" s="11"/>
      <c r="M14" s="4"/>
      <c r="N14" s="76"/>
      <c r="O14" s="76"/>
      <c r="P14" s="76" t="str">
        <f t="shared" ref="P14:P16" si="4">IF(B14&lt;&gt;1,","&amp;D14,D14)</f>
        <v>,data_type</v>
      </c>
      <c r="Q14" s="76" t="str">
        <f t="shared" si="0"/>
        <v>TEXT</v>
      </c>
      <c r="R14" s="76" t="str">
        <f t="shared" si="1"/>
        <v/>
      </c>
      <c r="S14" s="76" t="str">
        <f>IF(I14="○","NOT NULL","")</f>
        <v>NOT NULL</v>
      </c>
      <c r="T14" s="76" t="str">
        <f>"--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milscm_2023_009.sny_202310_work_patient_basic.data_type IS 'データ種別';</v>
      </c>
    </row>
    <row r="15" spans="1:45" s="25" customFormat="1">
      <c r="A15" s="4"/>
      <c r="B15" s="21">
        <f t="shared" si="2"/>
        <v>3</v>
      </c>
      <c r="C15" s="13" t="s">
        <v>4180</v>
      </c>
      <c r="D15" s="13" t="s">
        <v>947</v>
      </c>
      <c r="E15" s="7"/>
      <c r="F15" s="7" t="s">
        <v>1782</v>
      </c>
      <c r="G15" s="7" t="str">
        <f t="shared" si="3"/>
        <v>text</v>
      </c>
      <c r="H15" s="58"/>
      <c r="I15" s="23" t="s">
        <v>127</v>
      </c>
      <c r="J15" s="24"/>
      <c r="M15" s="4"/>
      <c r="N15" s="76"/>
      <c r="O15" s="76"/>
      <c r="P15" s="76" t="str">
        <f t="shared" si="4"/>
        <v>,sex_kubun</v>
      </c>
      <c r="Q15" s="76" t="str">
        <f t="shared" si="0"/>
        <v>TEXT</v>
      </c>
      <c r="R15" s="76" t="str">
        <f t="shared" si="1"/>
        <v/>
      </c>
      <c r="S15" s="76" t="str">
        <f t="shared" ref="S15:S16" si="5">IF(I15="○","NOT NULL","")</f>
        <v>NOT NULL</v>
      </c>
      <c r="T15" s="76" t="str">
        <f t="shared" ref="T15:T16" si="6">"-- "&amp;C15</f>
        <v>-- 男女区分</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milscm_2023_009.sny_202310_work_patient_basic.sex_kubun IS '男女区分';</v>
      </c>
    </row>
    <row r="16" spans="1:45" s="25" customFormat="1" ht="19.5" thickBot="1">
      <c r="A16" s="4"/>
      <c r="B16" s="27">
        <f>ROW()-12</f>
        <v>4</v>
      </c>
      <c r="C16" s="57" t="s">
        <v>4181</v>
      </c>
      <c r="D16" s="57" t="s">
        <v>322</v>
      </c>
      <c r="E16" s="56"/>
      <c r="F16" s="56" t="s">
        <v>865</v>
      </c>
      <c r="G16" s="56" t="str">
        <f t="shared" si="3"/>
        <v>text</v>
      </c>
      <c r="H16" s="59"/>
      <c r="I16" s="60" t="s">
        <v>127</v>
      </c>
      <c r="J16" s="64"/>
      <c r="N16" s="76"/>
      <c r="O16" s="76"/>
      <c r="P16" s="76" t="str">
        <f t="shared" si="4"/>
        <v>,birthday</v>
      </c>
      <c r="Q16" s="76" t="str">
        <f t="shared" si="0"/>
        <v>TEXT</v>
      </c>
      <c r="R16" s="76" t="str">
        <f t="shared" si="1"/>
        <v/>
      </c>
      <c r="S16" s="76" t="str">
        <f t="shared" si="5"/>
        <v>NOT NULL</v>
      </c>
      <c r="T16" s="76" t="str">
        <f t="shared" si="6"/>
        <v>-- 生年月日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milscm_2023_009.sny_202310_work_patient_basic.birthday IS '生年月日';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ENT_41_02</v>
      </c>
      <c r="E6" s="240"/>
      <c r="F6" s="240"/>
      <c r="G6" s="240"/>
      <c r="H6" s="240"/>
      <c r="I6" s="240"/>
      <c r="J6" s="241"/>
    </row>
    <row r="7" spans="1:45">
      <c r="B7" s="229" t="s">
        <v>115</v>
      </c>
      <c r="C7" s="230"/>
      <c r="D7" s="231" t="s">
        <v>561</v>
      </c>
      <c r="E7" s="232"/>
      <c r="F7" s="232"/>
      <c r="G7" s="232"/>
      <c r="H7" s="232"/>
      <c r="I7" s="232"/>
      <c r="J7" s="233"/>
    </row>
    <row r="8" spans="1:45">
      <c r="B8" s="229" t="s">
        <v>116</v>
      </c>
      <c r="C8" s="230"/>
      <c r="D8" s="231" t="str">
        <f>エンティティ一覧!AE2&amp;"_"&amp;D5&amp;"_shikkan"</f>
        <v>sny_202310_work_shikkan</v>
      </c>
      <c r="E8" s="232"/>
      <c r="F8" s="232"/>
      <c r="G8" s="232"/>
      <c r="H8" s="232"/>
      <c r="I8" s="232"/>
      <c r="J8" s="233"/>
    </row>
    <row r="9" spans="1:45" ht="19.5" customHeight="1" thickBot="1">
      <c r="B9" s="234" t="s">
        <v>117</v>
      </c>
      <c r="C9" s="235"/>
      <c r="D9" s="236" t="s">
        <v>4183</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milscm_2023_009.sny_202310_work_shikkan;</v>
      </c>
      <c r="O10" s="76"/>
      <c r="P10" s="76"/>
      <c r="Q10" s="76"/>
      <c r="R10" s="76"/>
      <c r="S10" s="76"/>
      <c r="T10" s="76"/>
      <c r="AJ10" s="76" t="str">
        <f>"ALTER TABLE ONLY "&amp;エンティティ一覧!$O$2&amp;"."&amp;D$8</f>
        <v>ALTER TABLE ONLY milscm_2023_009.sny_202310_work_shikkan</v>
      </c>
      <c r="AS10" s="76" t="str">
        <f>"ALTER TABLE "&amp;エンティティ一覧!$O$2&amp;"."&amp;D$8&amp;" OWNER TO pgmisgrp1;"</f>
        <v>ALTER TABLE milscm_2023_009.sny_202310_work_shikkan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milscm_2023_009.sny_202310_work_shikkan</v>
      </c>
      <c r="O11" s="76"/>
      <c r="P11" s="76"/>
      <c r="Q11" s="76"/>
      <c r="R11" s="76"/>
      <c r="S11" s="76"/>
      <c r="T11" s="76"/>
      <c r="AJ11" s="76" t="str">
        <f>"ADD CONSTRAINT "&amp;D$8&amp;"_pkey PRIMARY KEY"</f>
        <v>ADD CONSTRAINT sny_202310_work_shikkan_pkey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milscm_2023_009.sny_202310_work_shikkan IS 'ワーク_疾患データ';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1" si="0">UPPER(G13)</f>
        <v>TEXT</v>
      </c>
      <c r="R13" s="76" t="str">
        <f t="shared" ref="R13:R21"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milscm_2023_009.sny_202310_work_shikkan.mask_id IS 'マスクID';</v>
      </c>
    </row>
    <row r="14" spans="1:45" s="25" customFormat="1">
      <c r="A14" s="4"/>
      <c r="B14" s="21">
        <f t="shared" ref="B14:B20" si="2">ROW()-12</f>
        <v>2</v>
      </c>
      <c r="C14" s="6" t="s">
        <v>1323</v>
      </c>
      <c r="D14" s="6" t="s">
        <v>1324</v>
      </c>
      <c r="E14" s="8" t="s">
        <v>127</v>
      </c>
      <c r="F14" s="7" t="s">
        <v>1782</v>
      </c>
      <c r="G14" s="7" t="str">
        <f t="shared" ref="G14:G21" si="3">IF(F14="フラグ","boolean",IF(F14="文字列","text",IF(F14="整数","integer",IF(F14="実数","numeric",""))))</f>
        <v>text</v>
      </c>
      <c r="H14" s="26"/>
      <c r="I14" s="10" t="s">
        <v>127</v>
      </c>
      <c r="J14" s="11"/>
      <c r="M14" s="4"/>
      <c r="N14" s="76"/>
      <c r="O14" s="76"/>
      <c r="P14" s="76" t="str">
        <f t="shared" ref="P14:P21" si="4">IF(B14&lt;&gt;1,","&amp;D14,D14)</f>
        <v>,byomei</v>
      </c>
      <c r="Q14" s="76" t="str">
        <f t="shared" si="0"/>
        <v>TEXT</v>
      </c>
      <c r="R14" s="76" t="str">
        <f t="shared" si="1"/>
        <v/>
      </c>
      <c r="S14" s="76" t="str">
        <f>IF(I14="○","NOT NULL","")</f>
        <v>NOT NULL</v>
      </c>
      <c r="T14" s="76" t="str">
        <f>"-- "&amp;C14</f>
        <v>-- 病名</v>
      </c>
      <c r="U14" s="4"/>
      <c r="AA14" s="4"/>
      <c r="AB14" s="4"/>
      <c r="AC14" s="4"/>
      <c r="AD14" s="4"/>
      <c r="AE14" s="4"/>
      <c r="AF14" s="4"/>
      <c r="AG14" s="4"/>
      <c r="AH14" s="4"/>
      <c r="AI14" s="4"/>
      <c r="AJ14" s="76" t="str">
        <f>IF(E14="○",IF(COUNTA(E$13:E14)=1,"",",")&amp;D14,"")</f>
        <v>,byomei</v>
      </c>
      <c r="AK14" s="4"/>
      <c r="AL14" s="4"/>
      <c r="AM14" s="4"/>
      <c r="AN14" s="4"/>
      <c r="AO14" s="4"/>
      <c r="AP14" s="4"/>
      <c r="AQ14" s="4"/>
      <c r="AR14" s="4"/>
      <c r="AS14" s="76" t="str">
        <f>"COMMENT ON COLUMN "&amp;エンティティ一覧!$O$2&amp;"."&amp;D$8&amp;"."&amp;D14&amp;" IS '"&amp;C14&amp;"';"</f>
        <v>COMMENT ON COLUMN milscm_2023_009.sny_202310_work_shikkan.byomei IS '病名';</v>
      </c>
    </row>
    <row r="15" spans="1:45" s="25" customFormat="1">
      <c r="A15" s="4"/>
      <c r="B15" s="21">
        <f t="shared" si="2"/>
        <v>3</v>
      </c>
      <c r="C15" s="13" t="s">
        <v>4184</v>
      </c>
      <c r="D15" s="13" t="s">
        <v>1326</v>
      </c>
      <c r="E15" s="7"/>
      <c r="F15" s="7" t="s">
        <v>1782</v>
      </c>
      <c r="G15" s="7" t="str">
        <f t="shared" ref="G15:G17" si="5">IF(F15="フラグ","boolean",IF(F15="文字列","text",IF(F15="整数","integer",IF(F15="実数","numeric",""))))</f>
        <v>text</v>
      </c>
      <c r="H15" s="58"/>
      <c r="I15" s="23"/>
      <c r="J15" s="24"/>
      <c r="M15" s="4"/>
      <c r="N15" s="76"/>
      <c r="O15" s="76"/>
      <c r="P15" s="76" t="str">
        <f t="shared" ref="P15:P17" si="6">IF(B15&lt;&gt;1,","&amp;D15,D15)</f>
        <v>,byomei_code</v>
      </c>
      <c r="Q15" s="76" t="str">
        <f t="shared" ref="Q15:Q17" si="7">UPPER(G15)</f>
        <v>TEXT</v>
      </c>
      <c r="R15" s="76" t="str">
        <f t="shared" ref="R15:R17" si="8">IF(H15&lt;&gt;"","default "&amp;IF(G15="text","'"&amp;H15&amp;"'",H15),"")</f>
        <v/>
      </c>
      <c r="S15" s="76" t="str">
        <f t="shared" ref="S15:S17" si="9">IF(I15="○","NOT NULL","")</f>
        <v/>
      </c>
      <c r="T15" s="76" t="str">
        <f t="shared" ref="T15:T17" si="10">"-- "&amp;C15</f>
        <v>-- 病名コード値</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milscm_2023_009.sny_202310_work_shikkan.byomei_code IS '病名コード値';</v>
      </c>
    </row>
    <row r="16" spans="1:45" s="25" customFormat="1">
      <c r="A16" s="4"/>
      <c r="B16" s="21">
        <f t="shared" si="2"/>
        <v>4</v>
      </c>
      <c r="C16" s="13" t="s">
        <v>4185</v>
      </c>
      <c r="D16" s="13" t="s">
        <v>1328</v>
      </c>
      <c r="E16" s="7"/>
      <c r="F16" s="7" t="s">
        <v>1782</v>
      </c>
      <c r="G16" s="7" t="str">
        <f t="shared" si="5"/>
        <v>text</v>
      </c>
      <c r="H16" s="58"/>
      <c r="I16" s="23"/>
      <c r="J16" s="24"/>
      <c r="M16" s="4"/>
      <c r="N16" s="76"/>
      <c r="O16" s="76"/>
      <c r="P16" s="76" t="str">
        <f t="shared" si="6"/>
        <v>,byomei_code_id</v>
      </c>
      <c r="Q16" s="76" t="str">
        <f t="shared" si="7"/>
        <v>TEXT</v>
      </c>
      <c r="R16" s="76" t="str">
        <f t="shared" si="8"/>
        <v/>
      </c>
      <c r="S16" s="76" t="str">
        <f t="shared" si="9"/>
        <v/>
      </c>
      <c r="T16" s="76" t="str">
        <f t="shared" si="10"/>
        <v>-- 病名コード体系名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milscm_2023_009.sny_202310_work_shikkan.byomei_code_id IS '病名コード体系名';</v>
      </c>
    </row>
    <row r="17" spans="1:52" s="25" customFormat="1">
      <c r="A17" s="4"/>
      <c r="B17" s="21">
        <f t="shared" si="2"/>
        <v>5</v>
      </c>
      <c r="C17" s="13" t="s">
        <v>1305</v>
      </c>
      <c r="D17" s="13" t="s">
        <v>2791</v>
      </c>
      <c r="E17" s="7" t="s">
        <v>127</v>
      </c>
      <c r="F17" s="7" t="s">
        <v>1782</v>
      </c>
      <c r="G17" s="7" t="str">
        <f t="shared" si="5"/>
        <v>text</v>
      </c>
      <c r="H17" s="58"/>
      <c r="I17" s="23" t="s">
        <v>127</v>
      </c>
      <c r="J17" s="24"/>
      <c r="M17" s="4"/>
      <c r="N17" s="76"/>
      <c r="O17" s="76"/>
      <c r="P17" s="76" t="str">
        <f t="shared" si="6"/>
        <v>,start_date</v>
      </c>
      <c r="Q17" s="76" t="str">
        <f t="shared" si="7"/>
        <v>TEXT</v>
      </c>
      <c r="R17" s="76" t="str">
        <f t="shared" si="8"/>
        <v/>
      </c>
      <c r="S17" s="76" t="str">
        <f t="shared" si="9"/>
        <v>NOT NULL</v>
      </c>
      <c r="T17" s="76" t="str">
        <f t="shared" si="10"/>
        <v>-- 疾患開始日</v>
      </c>
      <c r="U17" s="4"/>
      <c r="AA17" s="4"/>
      <c r="AB17" s="4"/>
      <c r="AC17" s="4"/>
      <c r="AD17" s="4"/>
      <c r="AE17" s="4"/>
      <c r="AF17" s="4"/>
      <c r="AG17" s="4"/>
      <c r="AH17" s="4"/>
      <c r="AI17" s="4"/>
      <c r="AJ17" s="76" t="str">
        <f>IF(E17="○",IF(COUNTA(E$13:E17)=1,"",",")&amp;D17,"")</f>
        <v>,start_date</v>
      </c>
      <c r="AK17" s="4"/>
      <c r="AL17" s="4"/>
      <c r="AM17" s="4"/>
      <c r="AN17" s="4"/>
      <c r="AO17" s="4"/>
      <c r="AP17" s="4"/>
      <c r="AQ17" s="4"/>
      <c r="AR17" s="4"/>
      <c r="AS17" s="76" t="str">
        <f>"COMMENT ON COLUMN "&amp;エンティティ一覧!$O$2&amp;"."&amp;D$8&amp;"."&amp;D17&amp;" IS '"&amp;C17&amp;"';"</f>
        <v>COMMENT ON COLUMN milscm_2023_009.sny_202310_work_shikkan.start_date IS '疾患開始日';</v>
      </c>
    </row>
    <row r="18" spans="1:52" s="25" customFormat="1">
      <c r="A18" s="4"/>
      <c r="B18" s="21">
        <f t="shared" si="2"/>
        <v>6</v>
      </c>
      <c r="C18" s="13" t="s">
        <v>1307</v>
      </c>
      <c r="D18" s="13" t="s">
        <v>2792</v>
      </c>
      <c r="E18" s="7" t="s">
        <v>127</v>
      </c>
      <c r="F18" s="7" t="s">
        <v>1782</v>
      </c>
      <c r="G18" s="7" t="str">
        <f t="shared" si="3"/>
        <v>text</v>
      </c>
      <c r="H18" s="58"/>
      <c r="I18" s="23" t="s">
        <v>127</v>
      </c>
      <c r="J18" s="24"/>
      <c r="M18" s="4"/>
      <c r="N18" s="76"/>
      <c r="O18" s="76"/>
      <c r="P18" s="76" t="str">
        <f t="shared" si="4"/>
        <v>,end_date</v>
      </c>
      <c r="Q18" s="76" t="str">
        <f t="shared" si="0"/>
        <v>TEXT</v>
      </c>
      <c r="R18" s="76" t="str">
        <f t="shared" si="1"/>
        <v/>
      </c>
      <c r="S18" s="76" t="str">
        <f t="shared" ref="S18:S21" si="11">IF(I18="○","NOT NULL","")</f>
        <v>NOT NULL</v>
      </c>
      <c r="T18" s="76" t="str">
        <f t="shared" ref="T18:T21" si="12">"-- "&amp;C18</f>
        <v>-- 疾患終了日</v>
      </c>
      <c r="U18" s="4"/>
      <c r="AA18" s="4"/>
      <c r="AB18" s="4"/>
      <c r="AC18" s="4"/>
      <c r="AD18" s="4"/>
      <c r="AE18" s="4"/>
      <c r="AF18" s="4"/>
      <c r="AG18" s="4"/>
      <c r="AH18" s="4"/>
      <c r="AI18" s="4"/>
      <c r="AJ18" s="76" t="str">
        <f>IF(E18="○",IF(COUNTA(E$13:E18)=1,"",",")&amp;D18,"")</f>
        <v>,end_date</v>
      </c>
      <c r="AK18" s="4"/>
      <c r="AL18" s="4"/>
      <c r="AM18" s="4"/>
      <c r="AN18" s="4"/>
      <c r="AO18" s="4"/>
      <c r="AP18" s="4"/>
      <c r="AQ18" s="4"/>
      <c r="AR18" s="4"/>
      <c r="AS18" s="76" t="str">
        <f>"COMMENT ON COLUMN "&amp;エンティティ一覧!$O$2&amp;"."&amp;D$8&amp;"."&amp;D18&amp;" IS '"&amp;C18&amp;"';"</f>
        <v>COMMENT ON COLUMN milscm_2023_009.sny_202310_work_shikkan.end_date IS '疾患終了日';</v>
      </c>
    </row>
    <row r="19" spans="1:52" s="25" customFormat="1">
      <c r="A19" s="4"/>
      <c r="B19" s="21">
        <f t="shared" si="2"/>
        <v>7</v>
      </c>
      <c r="C19" s="13" t="s">
        <v>1309</v>
      </c>
      <c r="D19" s="13" t="s">
        <v>2793</v>
      </c>
      <c r="E19" s="7"/>
      <c r="F19" s="7" t="s">
        <v>1782</v>
      </c>
      <c r="G19" s="7" t="str">
        <f t="shared" si="3"/>
        <v>text</v>
      </c>
      <c r="H19" s="58"/>
      <c r="I19" s="23"/>
      <c r="J19" s="24"/>
      <c r="M19" s="4"/>
      <c r="N19" s="76"/>
      <c r="O19" s="76"/>
      <c r="P19" s="76" t="str">
        <f t="shared" si="4"/>
        <v>,outcome</v>
      </c>
      <c r="Q19" s="76" t="str">
        <f t="shared" si="0"/>
        <v>TEXT</v>
      </c>
      <c r="R19" s="76" t="str">
        <f t="shared" si="1"/>
        <v/>
      </c>
      <c r="S19" s="76" t="str">
        <f t="shared" si="11"/>
        <v/>
      </c>
      <c r="T19" s="76" t="str">
        <f t="shared" si="12"/>
        <v>-- 転帰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milscm_2023_009.sny_202310_work_shikkan.outcome IS '転帰';</v>
      </c>
    </row>
    <row r="20" spans="1:52" s="25" customFormat="1">
      <c r="A20" s="4"/>
      <c r="B20" s="21">
        <f t="shared" si="2"/>
        <v>8</v>
      </c>
      <c r="C20" s="6" t="s">
        <v>3791</v>
      </c>
      <c r="D20" s="6" t="s">
        <v>3792</v>
      </c>
      <c r="E20" s="8"/>
      <c r="F20" s="7" t="s">
        <v>737</v>
      </c>
      <c r="G20" s="7" t="str">
        <f t="shared" ref="G20" si="13">IF(F20="フラグ","boolean",IF(F20="文字列","text",IF(F20="整数","integer",IF(F20="実数","numeric",""))))</f>
        <v>text</v>
      </c>
      <c r="H20" s="58"/>
      <c r="I20" s="23" t="s">
        <v>127</v>
      </c>
      <c r="J20" s="24"/>
      <c r="M20" s="4"/>
      <c r="N20" s="76"/>
      <c r="O20" s="76"/>
      <c r="P20" s="76" t="str">
        <f t="shared" ref="P20" si="14">IF(B20&lt;&gt;1,","&amp;D20,D20)</f>
        <v>,disp_name</v>
      </c>
      <c r="Q20" s="76" t="str">
        <f t="shared" ref="Q20" si="15">UPPER(G20)</f>
        <v>TEXT</v>
      </c>
      <c r="R20" s="76" t="str">
        <f t="shared" ref="R20" si="16">IF(H20&lt;&gt;"","default "&amp;IF(G20="text","'"&amp;H20&amp;"'",H20),"")</f>
        <v/>
      </c>
      <c r="S20" s="76" t="str">
        <f t="shared" ref="S20" si="17">IF(I20="○","NOT NULL","")</f>
        <v>NOT NULL</v>
      </c>
      <c r="T20" s="76" t="str">
        <f t="shared" ref="T20" si="18">"-- "&amp;C20</f>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milscm_2023_009.sny_202310_work_shikkan.disp_name IS '表示名';</v>
      </c>
    </row>
    <row r="21" spans="1:52" s="25" customFormat="1" ht="19.5" thickBot="1">
      <c r="A21" s="4"/>
      <c r="B21" s="27">
        <f>ROW()-12</f>
        <v>9</v>
      </c>
      <c r="C21" s="28" t="s">
        <v>4078</v>
      </c>
      <c r="D21" s="28" t="s">
        <v>4079</v>
      </c>
      <c r="E21" s="29"/>
      <c r="F21" s="56" t="s">
        <v>4284</v>
      </c>
      <c r="G21" s="56" t="str">
        <f t="shared" si="3"/>
        <v>boolean</v>
      </c>
      <c r="H21" s="59"/>
      <c r="I21" s="60"/>
      <c r="J21" s="64"/>
      <c r="N21" s="76"/>
      <c r="O21" s="76"/>
      <c r="P21" s="76" t="str">
        <f t="shared" si="4"/>
        <v>,main_f</v>
      </c>
      <c r="Q21" s="76" t="str">
        <f t="shared" si="0"/>
        <v>BOOLEAN</v>
      </c>
      <c r="R21" s="76" t="str">
        <f t="shared" si="1"/>
        <v/>
      </c>
      <c r="S21" s="76" t="str">
        <f t="shared" si="11"/>
        <v/>
      </c>
      <c r="T21" s="76" t="str">
        <f t="shared" si="12"/>
        <v>-- 主傷病フラグ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milscm_2023_009.sny_202310_work_shikkan.main_f IS '主傷病フラグ';</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ENT_41_03</v>
      </c>
      <c r="E6" s="240"/>
      <c r="F6" s="240"/>
      <c r="G6" s="240"/>
      <c r="H6" s="240"/>
      <c r="I6" s="240"/>
      <c r="J6" s="241"/>
    </row>
    <row r="7" spans="1:52">
      <c r="B7" s="229" t="s">
        <v>115</v>
      </c>
      <c r="C7" s="230"/>
      <c r="D7" s="231" t="s">
        <v>4186</v>
      </c>
      <c r="E7" s="232"/>
      <c r="F7" s="232"/>
      <c r="G7" s="232"/>
      <c r="H7" s="232"/>
      <c r="I7" s="232"/>
      <c r="J7" s="233"/>
    </row>
    <row r="8" spans="1:52">
      <c r="B8" s="229" t="s">
        <v>116</v>
      </c>
      <c r="C8" s="230"/>
      <c r="D8" s="231" t="str">
        <f>エンティティ一覧!AE2&amp;"_"&amp;D5&amp;"_nyu_tai_in_dpc"</f>
        <v>sny_202310_work_nyu_tai_in_dpc</v>
      </c>
      <c r="E8" s="232"/>
      <c r="F8" s="232"/>
      <c r="G8" s="232"/>
      <c r="H8" s="232"/>
      <c r="I8" s="232"/>
      <c r="J8" s="233"/>
    </row>
    <row r="9" spans="1:52" ht="19.5" customHeight="1" thickBot="1">
      <c r="B9" s="234" t="s">
        <v>117</v>
      </c>
      <c r="C9" s="235"/>
      <c r="D9" s="236" t="s">
        <v>4187</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milscm_2023_009.sny_202310_work_nyu_tai_in_dpc;</v>
      </c>
      <c r="O10" s="76"/>
      <c r="P10" s="76"/>
      <c r="Q10" s="76"/>
      <c r="R10" s="76"/>
      <c r="S10" s="76"/>
      <c r="T10" s="76"/>
      <c r="AJ10" s="76" t="str">
        <f>"ALTER TABLE ONLY "&amp;エンティティ一覧!$O$2&amp;"."&amp;D$8</f>
        <v>ALTER TABLE ONLY milscm_2023_009.sny_202310_work_nyu_tai_in_dpc</v>
      </c>
      <c r="AS10" s="76" t="str">
        <f>"ALTER TABLE "&amp;エンティティ一覧!$O$2&amp;"."&amp;D$8&amp;" OWNER TO pgmisgrp1;"</f>
        <v>ALTER TABLE milscm_2023_009.sny_202310_work_nyu_tai_in_dpc OWNER TO pgmisgrp1;</v>
      </c>
    </row>
    <row r="11" spans="1:52" ht="19.5" thickBot="1">
      <c r="B11" s="20" t="s">
        <v>118</v>
      </c>
      <c r="C11" s="19"/>
      <c r="D11" s="5"/>
      <c r="E11" s="5"/>
      <c r="F11" s="5"/>
      <c r="G11" s="5"/>
      <c r="H11" s="5"/>
      <c r="I11" s="5"/>
      <c r="J11" s="18"/>
      <c r="N11" s="76" t="str">
        <f>"CREATE TABLE  "&amp;エンティティ一覧!$O$2&amp;"."&amp;D$8</f>
        <v>CREATE TABLE  milscm_2023_009.sny_202310_work_nyu_tai_in_dpc</v>
      </c>
      <c r="O11" s="76"/>
      <c r="P11" s="76"/>
      <c r="Q11" s="76"/>
      <c r="R11" s="76"/>
      <c r="S11" s="76"/>
      <c r="T11" s="76"/>
      <c r="AJ11" s="76" t="str">
        <f>"ADD CONSTRAINT "&amp;D$8&amp;"_pkey PRIMARY KEY"</f>
        <v>ADD CONSTRAINT sny_202310_work_nyu_tai_in_dpc_pkey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milscm_2023_009.sny_202310_work_nyu_tai_in_dpc IS 'ワーク_入院退院_DPC';</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milscm_2023_009.sny_202310_work_nyu_tai_in_dpc.mask_id IS 'マスクID';</v>
      </c>
    </row>
    <row r="14" spans="1:52" s="25" customFormat="1">
      <c r="A14" s="4"/>
      <c r="B14" s="21">
        <f t="shared" ref="B14" si="2">ROW()-12</f>
        <v>2</v>
      </c>
      <c r="C14" s="6" t="s">
        <v>4188</v>
      </c>
      <c r="D14" s="6" t="s">
        <v>156</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milscm_2023_009.sny_202310_work_nyu_tai_in_dpc.nyuin_ymd IS '入院年月日';</v>
      </c>
    </row>
    <row r="15" spans="1:52" s="25" customFormat="1" ht="19.5" thickBot="1">
      <c r="A15" s="4"/>
      <c r="B15" s="27">
        <f>ROW()-12</f>
        <v>3</v>
      </c>
      <c r="C15" s="57" t="s">
        <v>4189</v>
      </c>
      <c r="D15" s="57" t="s">
        <v>212</v>
      </c>
      <c r="E15" s="56" t="s">
        <v>127</v>
      </c>
      <c r="F15" s="56" t="s">
        <v>1782</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milscm_2023_009.sny_202310_work_nyu_tai_in_dpc.taiin_ymd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ENT_41_04</v>
      </c>
      <c r="E6" s="240"/>
      <c r="F6" s="240"/>
      <c r="G6" s="240"/>
      <c r="H6" s="240"/>
      <c r="I6" s="240"/>
      <c r="J6" s="241"/>
    </row>
    <row r="7" spans="1:52">
      <c r="B7" s="229" t="s">
        <v>115</v>
      </c>
      <c r="C7" s="230"/>
      <c r="D7" s="231" t="s">
        <v>4190</v>
      </c>
      <c r="E7" s="232"/>
      <c r="F7" s="232"/>
      <c r="G7" s="232"/>
      <c r="H7" s="232"/>
      <c r="I7" s="232"/>
      <c r="J7" s="233"/>
    </row>
    <row r="8" spans="1:52">
      <c r="B8" s="229" t="s">
        <v>116</v>
      </c>
      <c r="C8" s="230"/>
      <c r="D8" s="231" t="str">
        <f>エンティティ一覧!AE2&amp;"_"&amp;D5&amp;"_nyu_tai_in_mml"</f>
        <v>sny_202310_work_nyu_tai_in_mml</v>
      </c>
      <c r="E8" s="232"/>
      <c r="F8" s="232"/>
      <c r="G8" s="232"/>
      <c r="H8" s="232"/>
      <c r="I8" s="232"/>
      <c r="J8" s="233"/>
    </row>
    <row r="9" spans="1:52" ht="19.5" customHeight="1" thickBot="1">
      <c r="B9" s="234" t="s">
        <v>117</v>
      </c>
      <c r="C9" s="235"/>
      <c r="D9" s="236" t="s">
        <v>4191</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milscm_2023_009.sny_202310_work_nyu_tai_in_mml;</v>
      </c>
      <c r="O10" s="76"/>
      <c r="P10" s="76"/>
      <c r="Q10" s="76"/>
      <c r="R10" s="76"/>
      <c r="S10" s="76"/>
      <c r="T10" s="76"/>
      <c r="AJ10" s="76" t="str">
        <f>"ALTER TABLE ONLY "&amp;エンティティ一覧!$O$2&amp;"."&amp;D$8</f>
        <v>ALTER TABLE ONLY milscm_2023_009.sny_202310_work_nyu_tai_in_mml</v>
      </c>
      <c r="AS10" s="76" t="str">
        <f>"ALTER TABLE "&amp;エンティティ一覧!$O$2&amp;"."&amp;D$8&amp;" OWNER TO pgmisgrp1;"</f>
        <v>ALTER TABLE milscm_2023_009.sny_202310_work_nyu_tai_in_mml OWNER TO pgmisgrp1;</v>
      </c>
    </row>
    <row r="11" spans="1:52" ht="19.5" thickBot="1">
      <c r="B11" s="20" t="s">
        <v>118</v>
      </c>
      <c r="C11" s="19"/>
      <c r="D11" s="5"/>
      <c r="E11" s="5"/>
      <c r="F11" s="5"/>
      <c r="G11" s="5"/>
      <c r="H11" s="5"/>
      <c r="I11" s="5"/>
      <c r="J11" s="18"/>
      <c r="N11" s="76" t="str">
        <f>"CREATE TABLE  "&amp;エンティティ一覧!$O$2&amp;"."&amp;D$8</f>
        <v>CREATE TABLE  milscm_2023_009.sny_202310_work_nyu_tai_in_mml</v>
      </c>
      <c r="O11" s="76"/>
      <c r="P11" s="76"/>
      <c r="Q11" s="76"/>
      <c r="R11" s="76"/>
      <c r="S11" s="76"/>
      <c r="T11" s="76"/>
      <c r="AJ11" s="76" t="str">
        <f>"ADD CONSTRAINT "&amp;D$8&amp;"_pkey PRIMARY KEY"</f>
        <v>ADD CONSTRAINT sny_202310_work_nyu_tai_in_mml_pkey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milscm_2023_009.sny_202310_work_nyu_tai_in_mml IS 'ワーク_入院退院_MML';</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milscm_2023_009.sny_202310_work_nyu_tai_in_mml.mask_id IS 'マスクID';</v>
      </c>
    </row>
    <row r="14" spans="1:52" s="25" customFormat="1">
      <c r="A14" s="4"/>
      <c r="B14" s="21">
        <f t="shared" ref="B14" si="2">ROW()-12</f>
        <v>2</v>
      </c>
      <c r="C14" s="6" t="s">
        <v>4188</v>
      </c>
      <c r="D14" s="6" t="s">
        <v>156</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milscm_2023_009.sny_202310_work_nyu_tai_in_mml.nyuin_ymd IS '入院年月日';</v>
      </c>
    </row>
    <row r="15" spans="1:52" s="25" customFormat="1" ht="19.5" thickBot="1">
      <c r="A15" s="4"/>
      <c r="B15" s="27">
        <f>ROW()-12</f>
        <v>3</v>
      </c>
      <c r="C15" s="57" t="s">
        <v>4189</v>
      </c>
      <c r="D15" s="57" t="s">
        <v>212</v>
      </c>
      <c r="E15" s="56" t="s">
        <v>127</v>
      </c>
      <c r="F15" s="56" t="s">
        <v>1782</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milscm_2023_009.sny_202310_work_nyu_tai_in_mml.taiin_ymd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ENT_41_05</v>
      </c>
      <c r="E6" s="240"/>
      <c r="F6" s="240"/>
      <c r="G6" s="240"/>
      <c r="H6" s="240"/>
      <c r="I6" s="240"/>
      <c r="J6" s="241"/>
    </row>
    <row r="7" spans="1:52">
      <c r="B7" s="229" t="s">
        <v>115</v>
      </c>
      <c r="C7" s="230"/>
      <c r="D7" s="231" t="s">
        <v>4192</v>
      </c>
      <c r="E7" s="232"/>
      <c r="F7" s="232"/>
      <c r="G7" s="232"/>
      <c r="H7" s="232"/>
      <c r="I7" s="232"/>
      <c r="J7" s="233"/>
    </row>
    <row r="8" spans="1:52">
      <c r="B8" s="229" t="s">
        <v>116</v>
      </c>
      <c r="C8" s="230"/>
      <c r="D8" s="231" t="str">
        <f>エンティティ一覧!AE2&amp;"_"&amp;D5&amp;"_nyu_tai_in"</f>
        <v>sny_202310_work_nyu_tai_in</v>
      </c>
      <c r="E8" s="232"/>
      <c r="F8" s="232"/>
      <c r="G8" s="232"/>
      <c r="H8" s="232"/>
      <c r="I8" s="232"/>
      <c r="J8" s="233"/>
    </row>
    <row r="9" spans="1:52" ht="19.5" customHeight="1" thickBot="1">
      <c r="B9" s="234" t="s">
        <v>117</v>
      </c>
      <c r="C9" s="235"/>
      <c r="D9" s="236" t="s">
        <v>4193</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milscm_2023_009.sny_202310_work_nyu_tai_in;</v>
      </c>
      <c r="O10" s="76"/>
      <c r="P10" s="76"/>
      <c r="Q10" s="76"/>
      <c r="R10" s="76"/>
      <c r="S10" s="76"/>
      <c r="T10" s="76"/>
      <c r="AJ10" s="76" t="str">
        <f>"ALTER TABLE ONLY "&amp;エンティティ一覧!$O$2&amp;"."&amp;D$8</f>
        <v>ALTER TABLE ONLY milscm_2023_009.sny_202310_work_nyu_tai_in</v>
      </c>
      <c r="AS10" s="76" t="str">
        <f>"ALTER TABLE "&amp;エンティティ一覧!$O$2&amp;"."&amp;D$8&amp;" OWNER TO pgmisgrp1;"</f>
        <v>ALTER TABLE milscm_2023_009.sny_202310_work_nyu_tai_in OWNER TO pgmisgrp1;</v>
      </c>
    </row>
    <row r="11" spans="1:52" ht="19.5" thickBot="1">
      <c r="B11" s="20" t="s">
        <v>118</v>
      </c>
      <c r="C11" s="19"/>
      <c r="D11" s="5"/>
      <c r="E11" s="5"/>
      <c r="F11" s="5"/>
      <c r="G11" s="5"/>
      <c r="H11" s="5"/>
      <c r="I11" s="5"/>
      <c r="J11" s="18"/>
      <c r="N11" s="76" t="str">
        <f>"CREATE TABLE  "&amp;エンティティ一覧!$O$2&amp;"."&amp;D$8</f>
        <v>CREATE TABLE  milscm_2023_009.sny_202310_work_nyu_tai_in</v>
      </c>
      <c r="O11" s="76"/>
      <c r="P11" s="76"/>
      <c r="Q11" s="76"/>
      <c r="R11" s="76"/>
      <c r="S11" s="76"/>
      <c r="T11" s="76"/>
      <c r="AJ11" s="76" t="str">
        <f>"ADD CONSTRAINT "&amp;D$8&amp;"_pkey PRIMARY KEY"</f>
        <v>ADD CONSTRAINT sny_202310_work_nyu_tai_in_pkey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 IS 'ワーク_入院退院';</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milscm_2023_009.sny_202310_work_nyu_tai_in.mask_id IS 'マスクID';</v>
      </c>
    </row>
    <row r="14" spans="1:52" s="25" customFormat="1">
      <c r="A14" s="4"/>
      <c r="B14" s="21">
        <f t="shared" ref="B14" si="2">ROW()-12</f>
        <v>2</v>
      </c>
      <c r="C14" s="6" t="s">
        <v>4188</v>
      </c>
      <c r="D14" s="6" t="s">
        <v>156</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milscm_2023_009.sny_202310_work_nyu_tai_in.nyuin_ymd IS '入院年月日';</v>
      </c>
    </row>
    <row r="15" spans="1:52" s="25" customFormat="1" ht="19.5" thickBot="1">
      <c r="A15" s="4"/>
      <c r="B15" s="27">
        <f>ROW()-12</f>
        <v>3</v>
      </c>
      <c r="C15" s="57" t="s">
        <v>4189</v>
      </c>
      <c r="D15" s="57" t="s">
        <v>212</v>
      </c>
      <c r="E15" s="56" t="s">
        <v>127</v>
      </c>
      <c r="F15" s="56" t="s">
        <v>1782</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ENT_41_06</v>
      </c>
      <c r="E6" s="240"/>
      <c r="F6" s="240"/>
      <c r="G6" s="240"/>
      <c r="H6" s="240"/>
      <c r="I6" s="240"/>
      <c r="J6" s="241"/>
    </row>
    <row r="7" spans="1:52">
      <c r="B7" s="229" t="s">
        <v>115</v>
      </c>
      <c r="C7" s="230"/>
      <c r="D7" s="231" t="s">
        <v>4194</v>
      </c>
      <c r="E7" s="232"/>
      <c r="F7" s="232"/>
      <c r="G7" s="232"/>
      <c r="H7" s="232"/>
      <c r="I7" s="232"/>
      <c r="J7" s="233"/>
    </row>
    <row r="8" spans="1:52">
      <c r="B8" s="229" t="s">
        <v>116</v>
      </c>
      <c r="C8" s="230"/>
      <c r="D8" s="231" t="str">
        <f>エンティティ一覧!AE2&amp;"_"&amp;D5&amp;"_gairai_dpc"</f>
        <v>sny_202310_work_gairai_dpc</v>
      </c>
      <c r="E8" s="232"/>
      <c r="F8" s="232"/>
      <c r="G8" s="232"/>
      <c r="H8" s="232"/>
      <c r="I8" s="232"/>
      <c r="J8" s="233"/>
    </row>
    <row r="9" spans="1:52" ht="19.5" customHeight="1" thickBot="1">
      <c r="B9" s="234" t="s">
        <v>117</v>
      </c>
      <c r="C9" s="235"/>
      <c r="D9" s="236" t="s">
        <v>4195</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milscm_2023_009.sny_202310_work_gairai_dpc;</v>
      </c>
      <c r="O10" s="76"/>
      <c r="P10" s="76"/>
      <c r="Q10" s="76"/>
      <c r="R10" s="76"/>
      <c r="S10" s="76"/>
      <c r="T10" s="76"/>
      <c r="AJ10" s="76" t="str">
        <f>"ALTER TABLE ONLY "&amp;エンティティ一覧!$O$2&amp;"."&amp;D$8</f>
        <v>ALTER TABLE ONLY milscm_2023_009.sny_202310_work_gairai_dpc</v>
      </c>
      <c r="AS10" s="76" t="str">
        <f>"ALTER TABLE "&amp;エンティティ一覧!$O$2&amp;"."&amp;D$8&amp;" OWNER TO pgmisgrp1;"</f>
        <v>ALTER TABLE milscm_2023_009.sny_202310_work_gairai_dpc OWNER TO pgmisgrp1;</v>
      </c>
    </row>
    <row r="11" spans="1:52" ht="19.5" thickBot="1">
      <c r="B11" s="20" t="s">
        <v>118</v>
      </c>
      <c r="C11" s="19"/>
      <c r="D11" s="5"/>
      <c r="E11" s="5"/>
      <c r="F11" s="5"/>
      <c r="G11" s="5"/>
      <c r="H11" s="5"/>
      <c r="I11" s="5"/>
      <c r="J11" s="18"/>
      <c r="N11" s="76" t="str">
        <f>"CREATE TABLE  "&amp;エンティティ一覧!$O$2&amp;"."&amp;D$8</f>
        <v>CREATE TABLE  milscm_2023_009.sny_202310_work_gairai_dpc</v>
      </c>
      <c r="O11" s="76"/>
      <c r="P11" s="76"/>
      <c r="Q11" s="76"/>
      <c r="R11" s="76"/>
      <c r="S11" s="76"/>
      <c r="T11" s="76"/>
      <c r="AJ11" s="76" t="str">
        <f>"ADD CONSTRAINT "&amp;D$8&amp;"_pkey PRIMARY KEY"</f>
        <v>ADD CONSTRAINT sny_202310_work_gairai_dpc_pkey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milscm_2023_009.sny_202310_work_gairai_dpc IS 'ワーク_外来_DPC';</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milscm_2023_009.sny_202310_work_gairai_dpc.mask_id IS 'マスクID';</v>
      </c>
    </row>
    <row r="14" spans="1:52" s="25" customFormat="1" ht="19.5" thickBot="1">
      <c r="A14" s="4"/>
      <c r="B14" s="27">
        <f>ROW()-12</f>
        <v>2</v>
      </c>
      <c r="C14" s="57" t="s">
        <v>4196</v>
      </c>
      <c r="D14" s="57" t="s">
        <v>1482</v>
      </c>
      <c r="E14" s="56" t="s">
        <v>127</v>
      </c>
      <c r="F14" s="56" t="s">
        <v>1782</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milscm_2023_009.sny_202310_work_gairai_dpc.gairai_ymd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ENT_41_07</v>
      </c>
      <c r="E6" s="240"/>
      <c r="F6" s="240"/>
      <c r="G6" s="240"/>
      <c r="H6" s="240"/>
      <c r="I6" s="240"/>
      <c r="J6" s="241"/>
    </row>
    <row r="7" spans="1:52">
      <c r="B7" s="229" t="s">
        <v>115</v>
      </c>
      <c r="C7" s="230"/>
      <c r="D7" s="231" t="s">
        <v>4197</v>
      </c>
      <c r="E7" s="232"/>
      <c r="F7" s="232"/>
      <c r="G7" s="232"/>
      <c r="H7" s="232"/>
      <c r="I7" s="232"/>
      <c r="J7" s="233"/>
    </row>
    <row r="8" spans="1:52">
      <c r="B8" s="229" t="s">
        <v>116</v>
      </c>
      <c r="C8" s="230"/>
      <c r="D8" s="231" t="str">
        <f>エンティティ一覧!AE2&amp;"_"&amp;D5&amp;"_gairai_mml"</f>
        <v>sny_202310_work_gairai_mml</v>
      </c>
      <c r="E8" s="232"/>
      <c r="F8" s="232"/>
      <c r="G8" s="232"/>
      <c r="H8" s="232"/>
      <c r="I8" s="232"/>
      <c r="J8" s="233"/>
    </row>
    <row r="9" spans="1:52" ht="19.5" customHeight="1" thickBot="1">
      <c r="B9" s="234" t="s">
        <v>117</v>
      </c>
      <c r="C9" s="235"/>
      <c r="D9" s="236" t="s">
        <v>4199</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milscm_2023_009.sny_202310_work_gairai_mml;</v>
      </c>
      <c r="O10" s="76"/>
      <c r="P10" s="76"/>
      <c r="Q10" s="76"/>
      <c r="R10" s="76"/>
      <c r="S10" s="76"/>
      <c r="T10" s="76"/>
      <c r="AJ10" s="76" t="str">
        <f>"ALTER TABLE ONLY "&amp;エンティティ一覧!$O$2&amp;"."&amp;D$8</f>
        <v>ALTER TABLE ONLY milscm_2023_009.sny_202310_work_gairai_mml</v>
      </c>
      <c r="AS10" s="76" t="str">
        <f>"ALTER TABLE "&amp;エンティティ一覧!$O$2&amp;"."&amp;D$8&amp;" OWNER TO pgmisgrp1;"</f>
        <v>ALTER TABLE milscm_2023_009.sny_202310_work_gairai_mml OWNER TO pgmisgrp1;</v>
      </c>
    </row>
    <row r="11" spans="1:52" ht="19.5" thickBot="1">
      <c r="B11" s="20" t="s">
        <v>118</v>
      </c>
      <c r="C11" s="19"/>
      <c r="D11" s="5"/>
      <c r="E11" s="5"/>
      <c r="F11" s="5"/>
      <c r="G11" s="5"/>
      <c r="H11" s="5"/>
      <c r="I11" s="5"/>
      <c r="J11" s="18"/>
      <c r="N11" s="76" t="str">
        <f>"CREATE TABLE  "&amp;エンティティ一覧!$O$2&amp;"."&amp;D$8</f>
        <v>CREATE TABLE  milscm_2023_009.sny_202310_work_gairai_mml</v>
      </c>
      <c r="O11" s="76"/>
      <c r="P11" s="76"/>
      <c r="Q11" s="76"/>
      <c r="R11" s="76"/>
      <c r="S11" s="76"/>
      <c r="T11" s="76"/>
      <c r="AJ11" s="76" t="str">
        <f>"ADD CONSTRAINT "&amp;D$8&amp;"_pkey PRIMARY KEY"</f>
        <v>ADD CONSTRAINT sny_202310_work_gairai_mml_pkey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milscm_2023_009.sny_202310_work_gairai_mml IS 'ワーク_外来_MML';</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milscm_2023_009.sny_202310_work_gairai_mml.mask_id IS 'マスクID';</v>
      </c>
    </row>
    <row r="14" spans="1:52" s="25" customFormat="1" ht="19.5" thickBot="1">
      <c r="A14" s="4"/>
      <c r="B14" s="27">
        <f>ROW()-12</f>
        <v>2</v>
      </c>
      <c r="C14" s="57" t="s">
        <v>4196</v>
      </c>
      <c r="D14" s="57" t="s">
        <v>1482</v>
      </c>
      <c r="E14" s="56" t="s">
        <v>127</v>
      </c>
      <c r="F14" s="56" t="s">
        <v>1782</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milscm_2023_009.sny_202310_work_gairai_mml.gairai_ymd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ENT_41_08</v>
      </c>
      <c r="E6" s="240"/>
      <c r="F6" s="240"/>
      <c r="G6" s="240"/>
      <c r="H6" s="240"/>
      <c r="I6" s="240"/>
      <c r="J6" s="241"/>
    </row>
    <row r="7" spans="1:52">
      <c r="B7" s="229" t="s">
        <v>115</v>
      </c>
      <c r="C7" s="230"/>
      <c r="D7" s="231" t="s">
        <v>4198</v>
      </c>
      <c r="E7" s="232"/>
      <c r="F7" s="232"/>
      <c r="G7" s="232"/>
      <c r="H7" s="232"/>
      <c r="I7" s="232"/>
      <c r="J7" s="233"/>
    </row>
    <row r="8" spans="1:52">
      <c r="B8" s="229" t="s">
        <v>116</v>
      </c>
      <c r="C8" s="230"/>
      <c r="D8" s="231" t="str">
        <f>エンティティ一覧!AE2&amp;"_"&amp;D5&amp;"_gairai"</f>
        <v>sny_202310_work_gairai</v>
      </c>
      <c r="E8" s="232"/>
      <c r="F8" s="232"/>
      <c r="G8" s="232"/>
      <c r="H8" s="232"/>
      <c r="I8" s="232"/>
      <c r="J8" s="233"/>
    </row>
    <row r="9" spans="1:52" ht="19.5" customHeight="1" thickBot="1">
      <c r="B9" s="234" t="s">
        <v>117</v>
      </c>
      <c r="C9" s="235"/>
      <c r="D9" s="236" t="s">
        <v>4200</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milscm_2023_009.sny_202310_work_gairai;</v>
      </c>
      <c r="O10" s="76"/>
      <c r="P10" s="76"/>
      <c r="Q10" s="76"/>
      <c r="R10" s="76"/>
      <c r="S10" s="76"/>
      <c r="T10" s="76"/>
      <c r="AJ10" s="76" t="str">
        <f>"ALTER TABLE ONLY "&amp;エンティティ一覧!$O$2&amp;"."&amp;D$8</f>
        <v>ALTER TABLE ONLY milscm_2023_009.sny_202310_work_gairai</v>
      </c>
      <c r="AS10" s="76" t="str">
        <f>"ALTER TABLE "&amp;エンティティ一覧!$O$2&amp;"."&amp;D$8&amp;" OWNER TO pgmisgrp1;"</f>
        <v>ALTER TABLE milscm_2023_009.sny_202310_work_gairai OWNER TO pgmisgrp1;</v>
      </c>
    </row>
    <row r="11" spans="1:52" ht="19.5" thickBot="1">
      <c r="B11" s="20" t="s">
        <v>118</v>
      </c>
      <c r="C11" s="19"/>
      <c r="D11" s="5"/>
      <c r="E11" s="5"/>
      <c r="F11" s="5"/>
      <c r="G11" s="5"/>
      <c r="H11" s="5"/>
      <c r="I11" s="5"/>
      <c r="J11" s="18"/>
      <c r="N11" s="76" t="str">
        <f>"CREATE TABLE  "&amp;エンティティ一覧!$O$2&amp;"."&amp;D$8</f>
        <v>CREATE TABLE  milscm_2023_009.sny_202310_work_gairai</v>
      </c>
      <c r="O11" s="76"/>
      <c r="P11" s="76"/>
      <c r="Q11" s="76"/>
      <c r="R11" s="76"/>
      <c r="S11" s="76"/>
      <c r="T11" s="76"/>
      <c r="AJ11" s="76" t="str">
        <f>"ADD CONSTRAINT "&amp;D$8&amp;"_pkey PRIMARY KEY"</f>
        <v>ADD CONSTRAINT sny_202310_work_gairai_pkey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 IS 'ワーク_外来';</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milscm_2023_009.sny_202310_work_gairai.mask_id IS 'マスクID';</v>
      </c>
    </row>
    <row r="14" spans="1:52" s="25" customFormat="1" ht="19.5" thickBot="1">
      <c r="A14" s="4"/>
      <c r="B14" s="27">
        <f>ROW()-12</f>
        <v>2</v>
      </c>
      <c r="C14" s="57" t="s">
        <v>4196</v>
      </c>
      <c r="D14" s="57" t="s">
        <v>1482</v>
      </c>
      <c r="E14" s="56" t="s">
        <v>127</v>
      </c>
      <c r="F14" s="56" t="s">
        <v>1782</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ENT_41_09</v>
      </c>
      <c r="E6" s="240"/>
      <c r="F6" s="240"/>
      <c r="G6" s="240"/>
      <c r="H6" s="240"/>
      <c r="I6" s="240"/>
      <c r="J6" s="241"/>
    </row>
    <row r="7" spans="1:45">
      <c r="B7" s="229" t="s">
        <v>115</v>
      </c>
      <c r="C7" s="230"/>
      <c r="D7" s="231" t="s">
        <v>4201</v>
      </c>
      <c r="E7" s="232"/>
      <c r="F7" s="232"/>
      <c r="G7" s="232"/>
      <c r="H7" s="232"/>
      <c r="I7" s="232"/>
      <c r="J7" s="233"/>
    </row>
    <row r="8" spans="1:45">
      <c r="B8" s="229" t="s">
        <v>116</v>
      </c>
      <c r="C8" s="230"/>
      <c r="D8" s="231" t="str">
        <f>エンティティ一覧!AE2&amp;"_"&amp;D5&amp;"_shohou"</f>
        <v>sny_202310_work_shohou</v>
      </c>
      <c r="E8" s="232"/>
      <c r="F8" s="232"/>
      <c r="G8" s="232"/>
      <c r="H8" s="232"/>
      <c r="I8" s="232"/>
      <c r="J8" s="233"/>
    </row>
    <row r="9" spans="1:45" ht="19.5" customHeight="1" thickBot="1">
      <c r="B9" s="234" t="s">
        <v>117</v>
      </c>
      <c r="C9" s="235"/>
      <c r="D9" s="236" t="s">
        <v>4209</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milscm_2023_009.sny_202310_work_shohou;</v>
      </c>
      <c r="O10" s="76"/>
      <c r="P10" s="76"/>
      <c r="Q10" s="76"/>
      <c r="R10" s="76"/>
      <c r="S10" s="76"/>
      <c r="T10" s="76"/>
      <c r="AJ10" s="76" t="str">
        <f>"ALTER TABLE ONLY "&amp;エンティティ一覧!$O$2&amp;"."&amp;D$8</f>
        <v>ALTER TABLE ONLY milscm_2023_009.sny_202310_work_shohou</v>
      </c>
      <c r="AS10" s="76" t="str">
        <f>"ALTER TABLE "&amp;エンティティ一覧!$O$2&amp;"."&amp;D$8&amp;" OWNER TO pgmisgrp1;"</f>
        <v>ALTER TABLE milscm_2023_009.sny_202310_work_shohou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milscm_2023_009.sny_202310_work_shohou</v>
      </c>
      <c r="O11" s="76"/>
      <c r="P11" s="76"/>
      <c r="Q11" s="76"/>
      <c r="R11" s="76"/>
      <c r="S11" s="76"/>
      <c r="T11" s="76"/>
      <c r="AJ11" s="76" t="str">
        <f>"ADD CONSTRAINT "&amp;D$8&amp;"_pkey PRIMARY KEY"</f>
        <v>ADD CONSTRAINT sny_202310_work_shohou_pkey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milscm_2023_009.sny_202310_work_shohou IS 'ワーク_処方データ';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milscm_2023_009.sny_202310_work_shohou.mask_id IS 'マスクID';</v>
      </c>
    </row>
    <row r="14" spans="1:45" s="25" customFormat="1">
      <c r="A14" s="4"/>
      <c r="B14" s="21">
        <f t="shared" ref="B14:B16" si="2">ROW()-12</f>
        <v>2</v>
      </c>
      <c r="C14" s="6" t="s">
        <v>145</v>
      </c>
      <c r="D14" s="6" t="s">
        <v>154</v>
      </c>
      <c r="E14" s="8" t="s">
        <v>127</v>
      </c>
      <c r="F14" s="7" t="s">
        <v>1782</v>
      </c>
      <c r="G14" s="7" t="str">
        <f t="shared" ref="G14:G16" si="3">IF(F14="フラグ","boolean",IF(F14="文字列","text",IF(F14="整数","integer",IF(F14="実数","numeric",""))))</f>
        <v>text</v>
      </c>
      <c r="H14" s="26"/>
      <c r="I14" s="10" t="s">
        <v>127</v>
      </c>
      <c r="J14" s="11"/>
      <c r="M14" s="4"/>
      <c r="N14" s="76"/>
      <c r="O14" s="76"/>
      <c r="P14" s="76" t="str">
        <f t="shared" ref="P14:P16" si="4">IF(B14&lt;&gt;1,","&amp;D14,D14)</f>
        <v>,receipt_densan_code</v>
      </c>
      <c r="Q14" s="76" t="str">
        <f t="shared" ref="Q14:Q16" si="5">UPPER(G14)</f>
        <v>TEXT</v>
      </c>
      <c r="R14" s="76" t="str">
        <f t="shared" ref="R14:R16" si="6">IF(H14&lt;&gt;"","default "&amp;IF(G14="text","'"&amp;H14&amp;"'",H14),"")</f>
        <v/>
      </c>
      <c r="S14" s="76" t="str">
        <f t="shared" ref="S14:S16" si="7">IF(I14="○","NOT NULL","")</f>
        <v>NOT NULL</v>
      </c>
      <c r="T14" s="76" t="str">
        <f t="shared" ref="T14:T16" si="8">"-- "&amp;C14</f>
        <v>-- レセプト電算処理システム用コード</v>
      </c>
      <c r="U14" s="4"/>
      <c r="AA14" s="4"/>
      <c r="AB14" s="4"/>
      <c r="AC14" s="4"/>
      <c r="AD14" s="4"/>
      <c r="AE14" s="4"/>
      <c r="AF14" s="4"/>
      <c r="AG14" s="4"/>
      <c r="AH14" s="4"/>
      <c r="AI14" s="4"/>
      <c r="AJ14" s="76" t="str">
        <f>IF(E14="○",IF(COUNTA(E$13:E14)=1,"",",")&amp;D14,"")</f>
        <v>,receipt_densan_code</v>
      </c>
      <c r="AK14" s="4"/>
      <c r="AL14" s="4"/>
      <c r="AM14" s="4"/>
      <c r="AN14" s="4"/>
      <c r="AO14" s="4"/>
      <c r="AP14" s="4"/>
      <c r="AQ14" s="4"/>
      <c r="AR14" s="4"/>
      <c r="AS14" s="76" t="str">
        <f>"COMMENT ON COLUMN "&amp;エンティティ一覧!$O$2&amp;"."&amp;D$8&amp;"."&amp;D14&amp;" IS '"&amp;C14&amp;"';"</f>
        <v>COMMENT ON COLUMN milscm_2023_009.sny_202310_work_shohou.receipt_densan_code IS 'レセプト電算処理システム用コード';</v>
      </c>
    </row>
    <row r="15" spans="1:45" s="25" customFormat="1">
      <c r="A15" s="4"/>
      <c r="B15" s="21">
        <f t="shared" si="2"/>
        <v>3</v>
      </c>
      <c r="C15" s="6" t="s">
        <v>4202</v>
      </c>
      <c r="D15" s="6" t="s">
        <v>129</v>
      </c>
      <c r="E15" s="8"/>
      <c r="F15" s="7" t="s">
        <v>4203</v>
      </c>
      <c r="G15" s="7" t="str">
        <f t="shared" si="3"/>
        <v>numeric</v>
      </c>
      <c r="H15" s="26"/>
      <c r="I15" s="10"/>
      <c r="J15" s="11"/>
      <c r="M15" s="4"/>
      <c r="N15" s="76"/>
      <c r="O15" s="76"/>
      <c r="P15" s="76" t="str">
        <f t="shared" si="4"/>
        <v>,shiyoryo</v>
      </c>
      <c r="Q15" s="76" t="str">
        <f t="shared" si="5"/>
        <v>NUMERIC</v>
      </c>
      <c r="R15" s="76" t="str">
        <f t="shared" si="6"/>
        <v/>
      </c>
      <c r="S15" s="76" t="str">
        <f t="shared" si="7"/>
        <v/>
      </c>
      <c r="T15" s="76" t="str">
        <f t="shared" si="8"/>
        <v>-- 使用量</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milscm_2023_009.sny_202310_work_shohou.shiyoryo IS '使用量';</v>
      </c>
    </row>
    <row r="16" spans="1:45" s="25" customFormat="1">
      <c r="A16" s="4"/>
      <c r="B16" s="21">
        <f t="shared" si="2"/>
        <v>4</v>
      </c>
      <c r="C16" s="6" t="s">
        <v>4204</v>
      </c>
      <c r="D16" s="6" t="s">
        <v>276</v>
      </c>
      <c r="E16" s="8"/>
      <c r="F16" s="7" t="s">
        <v>1782</v>
      </c>
      <c r="G16" s="7" t="str">
        <f t="shared" si="3"/>
        <v>text</v>
      </c>
      <c r="H16" s="26"/>
      <c r="I16" s="10"/>
      <c r="J16" s="11"/>
      <c r="M16" s="4"/>
      <c r="N16" s="76"/>
      <c r="O16" s="76"/>
      <c r="P16" s="76" t="str">
        <f t="shared" si="4"/>
        <v>,unit</v>
      </c>
      <c r="Q16" s="76" t="str">
        <f t="shared" si="5"/>
        <v>TEXT</v>
      </c>
      <c r="R16" s="76" t="str">
        <f t="shared" si="6"/>
        <v/>
      </c>
      <c r="S16" s="76" t="str">
        <f t="shared" si="7"/>
        <v/>
      </c>
      <c r="T16" s="76" t="str">
        <f t="shared" si="8"/>
        <v>-- 基準単位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milscm_2023_009.sny_202310_work_shohou.unit IS '基準単位';</v>
      </c>
    </row>
    <row r="17" spans="1:52" s="25" customFormat="1">
      <c r="A17" s="4"/>
      <c r="B17" s="21">
        <f t="shared" ref="B17" si="9">ROW()-12</f>
        <v>5</v>
      </c>
      <c r="C17" s="6" t="s">
        <v>4205</v>
      </c>
      <c r="D17" s="6" t="s">
        <v>133</v>
      </c>
      <c r="E17" s="8"/>
      <c r="F17" s="7" t="s">
        <v>4203</v>
      </c>
      <c r="G17" s="7" t="str">
        <f t="shared" ref="G17:G18" si="10">IF(F17="フラグ","boolean",IF(F17="文字列","text",IF(F17="整数","integer",IF(F17="実数","numeric",""))))</f>
        <v>numeric</v>
      </c>
      <c r="H17" s="26"/>
      <c r="I17" s="10"/>
      <c r="J17" s="11"/>
      <c r="M17" s="4"/>
      <c r="N17" s="76"/>
      <c r="O17" s="76"/>
      <c r="P17" s="76" t="str">
        <f t="shared" ref="P17:P18" si="11">IF(B17&lt;&gt;1,","&amp;D17,D17)</f>
        <v>,koi_times</v>
      </c>
      <c r="Q17" s="76" t="str">
        <f t="shared" si="0"/>
        <v>NUMERIC</v>
      </c>
      <c r="R17" s="76" t="str">
        <f t="shared" si="1"/>
        <v/>
      </c>
      <c r="S17" s="76" t="str">
        <f>IF(I17="○","NOT NULL","")</f>
        <v/>
      </c>
      <c r="T17" s="76" t="str">
        <f>"-- "&amp;C17</f>
        <v>-- 行為回数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milscm_2023_009.sny_202310_work_shohou.koi_times IS '行為回数';</v>
      </c>
    </row>
    <row r="18" spans="1:52" s="25" customFormat="1" ht="19.5" thickBot="1">
      <c r="A18" s="4"/>
      <c r="B18" s="27">
        <f>ROW()-12</f>
        <v>6</v>
      </c>
      <c r="C18" s="57" t="s">
        <v>4206</v>
      </c>
      <c r="D18" s="57" t="s">
        <v>155</v>
      </c>
      <c r="E18" s="56" t="s">
        <v>127</v>
      </c>
      <c r="F18" s="56" t="s">
        <v>1782</v>
      </c>
      <c r="G18" s="56" t="str">
        <f t="shared" si="10"/>
        <v>text</v>
      </c>
      <c r="H18" s="59"/>
      <c r="I18" s="60" t="s">
        <v>127</v>
      </c>
      <c r="J18" s="64"/>
      <c r="N18" s="76"/>
      <c r="O18" s="76"/>
      <c r="P18" s="76" t="str">
        <f t="shared" si="11"/>
        <v>,jisshi_ymd</v>
      </c>
      <c r="Q18" s="76" t="str">
        <f t="shared" si="0"/>
        <v>TEXT</v>
      </c>
      <c r="R18" s="76" t="str">
        <f t="shared" si="1"/>
        <v/>
      </c>
      <c r="S18" s="76" t="str">
        <f t="shared" ref="S18" si="12">IF(I18="○","NOT NULL","")</f>
        <v>NOT NULL</v>
      </c>
      <c r="T18" s="76" t="str">
        <f t="shared" ref="T18" si="13">"-- "&amp;C18</f>
        <v>-- 実施年月日</v>
      </c>
      <c r="U18" s="4"/>
      <c r="AA18" s="4"/>
      <c r="AB18" s="4"/>
      <c r="AC18" s="4"/>
      <c r="AD18" s="4"/>
      <c r="AE18" s="4"/>
      <c r="AF18" s="4"/>
      <c r="AG18" s="4"/>
      <c r="AH18" s="4"/>
      <c r="AI18" s="4"/>
      <c r="AJ18" s="76" t="str">
        <f>IF(E18="○",IF(COUNTA(E$13:E18)=1,"",",")&amp;D18,"")</f>
        <v>,jisshi_ymd</v>
      </c>
      <c r="AK18" s="4"/>
      <c r="AL18" s="4"/>
      <c r="AM18" s="4"/>
      <c r="AN18" s="4"/>
      <c r="AO18" s="4"/>
      <c r="AP18" s="4"/>
      <c r="AQ18" s="4"/>
      <c r="AR18" s="4"/>
      <c r="AS18" s="76" t="str">
        <f>"COMMENT ON COLUMN "&amp;エンティティ一覧!$O$2&amp;"."&amp;D$8&amp;"."&amp;D18&amp;" IS '"&amp;C18&amp;"';"</f>
        <v>COMMENT ON COLUMN milscm_2023_009.sny_202310_work_shohou.jisshi_ymd IS '実施年月日';</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1914</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ENT_41_10</v>
      </c>
      <c r="E6" s="240"/>
      <c r="F6" s="240"/>
      <c r="G6" s="240"/>
      <c r="H6" s="240"/>
      <c r="I6" s="240"/>
      <c r="J6" s="241"/>
    </row>
    <row r="7" spans="1:52">
      <c r="B7" s="229" t="s">
        <v>115</v>
      </c>
      <c r="C7" s="230"/>
      <c r="D7" s="231" t="s">
        <v>4146</v>
      </c>
      <c r="E7" s="232"/>
      <c r="F7" s="232"/>
      <c r="G7" s="232"/>
      <c r="H7" s="232"/>
      <c r="I7" s="232"/>
      <c r="J7" s="233"/>
    </row>
    <row r="8" spans="1:52">
      <c r="B8" s="229" t="s">
        <v>116</v>
      </c>
      <c r="C8" s="230"/>
      <c r="D8" s="231" t="str">
        <f>エンティティ一覧!AE2&amp;"_"&amp;D5&amp;"_shinryou_koui"</f>
        <v>sny_202310_work_shinryou_koui</v>
      </c>
      <c r="E8" s="232"/>
      <c r="F8" s="232"/>
      <c r="G8" s="232"/>
      <c r="H8" s="232"/>
      <c r="I8" s="232"/>
      <c r="J8" s="233"/>
    </row>
    <row r="9" spans="1:52" ht="19.5" customHeight="1" thickBot="1">
      <c r="B9" s="234" t="s">
        <v>117</v>
      </c>
      <c r="C9" s="235"/>
      <c r="D9" s="236" t="s">
        <v>4208</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milscm_2023_009.sny_202310_work_shinryou_koui;</v>
      </c>
      <c r="O10" s="76"/>
      <c r="P10" s="76"/>
      <c r="Q10" s="76"/>
      <c r="R10" s="76"/>
      <c r="S10" s="76"/>
      <c r="T10" s="76"/>
      <c r="AJ10" s="76" t="str">
        <f>"ALTER TABLE ONLY "&amp;エンティティ一覧!$O$2&amp;"."&amp;D$8</f>
        <v>ALTER TABLE ONLY milscm_2023_009.sny_202310_work_shinryou_koui</v>
      </c>
      <c r="AS10" s="76" t="str">
        <f>"ALTER TABLE "&amp;エンティティ一覧!$O$2&amp;"."&amp;D$8&amp;" OWNER TO pgmisgrp1;"</f>
        <v>ALTER TABLE milscm_2023_009.sny_202310_work_shinryou_koui OWNER TO pgmisgrp1;</v>
      </c>
    </row>
    <row r="11" spans="1:52" ht="19.5" thickBot="1">
      <c r="B11" s="20" t="s">
        <v>118</v>
      </c>
      <c r="C11" s="19"/>
      <c r="D11" s="5"/>
      <c r="E11" s="5"/>
      <c r="F11" s="5"/>
      <c r="G11" s="5"/>
      <c r="H11" s="5"/>
      <c r="I11" s="5"/>
      <c r="J11" s="18"/>
      <c r="N11" s="76" t="str">
        <f>"CREATE TABLE  "&amp;エンティティ一覧!$O$2&amp;"."&amp;D$8</f>
        <v>CREATE TABLE  milscm_2023_009.sny_202310_work_shinryou_koui</v>
      </c>
      <c r="O11" s="76"/>
      <c r="P11" s="76"/>
      <c r="Q11" s="76"/>
      <c r="R11" s="76"/>
      <c r="S11" s="76"/>
      <c r="T11" s="76"/>
      <c r="AJ11" s="76" t="str">
        <f>"ADD CONSTRAINT "&amp;D$8&amp;"_pkey PRIMARY KEY"</f>
        <v>ADD CONSTRAINT sny_202310_work_shinryou_koui_pkey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milscm_2023_009.sny_202310_work_shinryou_koui IS 'ワーク_診療行為データ';</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milscm_2023_009.sny_202310_work_shinryou_koui.mask_id IS 'マスクID';</v>
      </c>
    </row>
    <row r="14" spans="1:52" s="25" customFormat="1">
      <c r="A14" s="4"/>
      <c r="B14" s="21">
        <f t="shared" ref="B14" si="2">ROW()-12</f>
        <v>2</v>
      </c>
      <c r="C14" s="6" t="s">
        <v>145</v>
      </c>
      <c r="D14" s="6" t="s">
        <v>154</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,receipt_densan_code</v>
      </c>
      <c r="Q14" s="76" t="str">
        <f t="shared" si="0"/>
        <v>TEXT</v>
      </c>
      <c r="R14" s="76" t="str">
        <f t="shared" si="1"/>
        <v/>
      </c>
      <c r="S14" s="76" t="str">
        <f t="shared" ref="S14" si="5">IF(I14="○","NOT NULL","")</f>
        <v>NOT NULL</v>
      </c>
      <c r="T14" s="76" t="str">
        <f t="shared" ref="T14" si="6">"-- "&amp;C14</f>
        <v>-- レセプト電算処理システム用コード</v>
      </c>
      <c r="U14" s="4"/>
      <c r="AA14" s="4"/>
      <c r="AB14" s="4"/>
      <c r="AC14" s="4"/>
      <c r="AD14" s="4"/>
      <c r="AE14" s="4"/>
      <c r="AF14" s="4"/>
      <c r="AG14" s="4"/>
      <c r="AH14" s="4"/>
      <c r="AI14" s="4"/>
      <c r="AJ14" s="76" t="str">
        <f>IF(E14="○",IF(COUNTA(E$13:E14)=1,"",",")&amp;D14,"")</f>
        <v>,receipt_densan_code</v>
      </c>
      <c r="AK14" s="4"/>
      <c r="AL14" s="4"/>
      <c r="AM14" s="4"/>
      <c r="AN14" s="4"/>
      <c r="AO14" s="4"/>
      <c r="AP14" s="4"/>
      <c r="AQ14" s="4"/>
      <c r="AR14" s="4"/>
      <c r="AS14" s="76" t="str">
        <f>"COMMENT ON COLUMN "&amp;エンティティ一覧!$O$2&amp;"."&amp;D$8&amp;"."&amp;D14&amp;" IS '"&amp;C14&amp;"';"</f>
        <v>COMMENT ON COLUMN milscm_2023_009.sny_202310_work_shinryou_koui.receipt_densan_code IS 'レセプト電算処理システム用コード';</v>
      </c>
    </row>
    <row r="15" spans="1:52" s="25" customFormat="1" ht="19.5" thickBot="1">
      <c r="A15" s="4"/>
      <c r="B15" s="27">
        <f>ROW()-12</f>
        <v>3</v>
      </c>
      <c r="C15" s="57" t="s">
        <v>4206</v>
      </c>
      <c r="D15" s="57" t="s">
        <v>155</v>
      </c>
      <c r="E15" s="56" t="s">
        <v>127</v>
      </c>
      <c r="F15" s="56" t="s">
        <v>1782</v>
      </c>
      <c r="G15" s="56" t="str">
        <f t="shared" si="3"/>
        <v>text</v>
      </c>
      <c r="H15" s="59"/>
      <c r="I15" s="60" t="s">
        <v>127</v>
      </c>
      <c r="J15" s="64"/>
      <c r="N15" s="76"/>
      <c r="O15" s="76"/>
      <c r="P15" s="76" t="str">
        <f t="shared" si="4"/>
        <v>,jisshi_ymd</v>
      </c>
      <c r="Q15" s="76" t="str">
        <f t="shared" si="0"/>
        <v>TEXT</v>
      </c>
      <c r="R15" s="76" t="str">
        <f t="shared" si="1"/>
        <v/>
      </c>
      <c r="S15" s="76" t="str">
        <f t="shared" ref="S15" si="7">IF(I15="○","NOT NULL","")</f>
        <v>NOT NULL</v>
      </c>
      <c r="T15" s="76" t="str">
        <f t="shared" ref="T15" si="8">"-- "&amp;C15</f>
        <v>-- 実施年月日</v>
      </c>
      <c r="U15" s="4"/>
      <c r="AA15" s="4"/>
      <c r="AB15" s="4"/>
      <c r="AC15" s="4"/>
      <c r="AD15" s="4"/>
      <c r="AE15" s="4"/>
      <c r="AF15" s="4"/>
      <c r="AG15" s="4"/>
      <c r="AH15" s="4"/>
      <c r="AI15" s="4"/>
      <c r="AJ15" s="76" t="str">
        <f>IF(E15="○",IF(COUNTA(E$13:E15)=1,"",",")&amp;D15,"")</f>
        <v>,jisshi_ymd</v>
      </c>
      <c r="AK15" s="4"/>
      <c r="AL15" s="4"/>
      <c r="AM15" s="4"/>
      <c r="AN15" s="4"/>
      <c r="AO15" s="4"/>
      <c r="AP15" s="4"/>
      <c r="AQ15" s="4"/>
      <c r="AR15" s="4"/>
      <c r="AS15" s="76" t="str">
        <f>"COMMENT ON COLUMN "&amp;エンティティ一覧!$O$2&amp;"."&amp;D$8&amp;"."&amp;D15&amp;" IS '"&amp;C15&amp;"';"</f>
        <v>COMMENT ON COLUMN milscm_2023_009.sny_202310_work_shinryou_koui.jisshi_ymd IS '実施年月日';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ENT_41_11</v>
      </c>
      <c r="E6" s="240"/>
      <c r="F6" s="240"/>
      <c r="G6" s="240"/>
      <c r="H6" s="240"/>
      <c r="I6" s="240"/>
      <c r="J6" s="241"/>
    </row>
    <row r="7" spans="1:45">
      <c r="B7" s="229" t="s">
        <v>115</v>
      </c>
      <c r="C7" s="230"/>
      <c r="D7" s="231" t="s">
        <v>4213</v>
      </c>
      <c r="E7" s="232"/>
      <c r="F7" s="232"/>
      <c r="G7" s="232"/>
      <c r="H7" s="232"/>
      <c r="I7" s="232"/>
      <c r="J7" s="233"/>
    </row>
    <row r="8" spans="1:45">
      <c r="B8" s="229" t="s">
        <v>116</v>
      </c>
      <c r="C8" s="230"/>
      <c r="D8" s="231" t="str">
        <f>エンティティ一覧!AE2&amp;"_"&amp;D5&amp;"_kensa_scm2"</f>
        <v>sny_202310_work_kensa_scm2</v>
      </c>
      <c r="E8" s="232"/>
      <c r="F8" s="232"/>
      <c r="G8" s="232"/>
      <c r="H8" s="232"/>
      <c r="I8" s="232"/>
      <c r="J8" s="233"/>
    </row>
    <row r="9" spans="1:45" ht="19.5" customHeight="1" thickBot="1">
      <c r="B9" s="234" t="s">
        <v>117</v>
      </c>
      <c r="C9" s="235"/>
      <c r="D9" s="236" t="s">
        <v>4214</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milscm_2023_009.sny_202310_work_kensa_scm2;</v>
      </c>
      <c r="O10" s="76"/>
      <c r="P10" s="76"/>
      <c r="Q10" s="76"/>
      <c r="R10" s="76"/>
      <c r="S10" s="76"/>
      <c r="T10" s="76"/>
      <c r="AJ10" s="76" t="str">
        <f>"ALTER TABLE ONLY "&amp;エンティティ一覧!$O$2&amp;"."&amp;D$8</f>
        <v>ALTER TABLE ONLY milscm_2023_009.sny_202310_work_kensa_scm2</v>
      </c>
      <c r="AS10" s="76" t="str">
        <f>"ALTER TABLE "&amp;エンティティ一覧!$O$2&amp;"."&amp;D$8&amp;" OWNER TO pgmisgrp1;"</f>
        <v>ALTER TABLE milscm_2023_009.sny_202310_work_kensa_scm2 OWNER TO pgmisgrp1;</v>
      </c>
    </row>
    <row r="11" spans="1:45" ht="19.5" thickBot="1">
      <c r="B11" s="20" t="s">
        <v>118</v>
      </c>
      <c r="C11" s="19"/>
      <c r="D11" s="5"/>
      <c r="E11" s="5"/>
      <c r="F11" s="5"/>
      <c r="G11" s="5"/>
      <c r="H11" s="5"/>
      <c r="I11" s="5"/>
      <c r="J11" s="18"/>
      <c r="N11" s="76" t="str">
        <f>"CREATE TABLE  "&amp;エンティティ一覧!$O$2&amp;"."&amp;D$8</f>
        <v>CREATE TABLE  milscm_2023_009.sny_202310_work_kensa_scm2</v>
      </c>
      <c r="O11" s="76"/>
      <c r="P11" s="76"/>
      <c r="Q11" s="76"/>
      <c r="R11" s="76"/>
      <c r="S11" s="76"/>
      <c r="T11" s="76"/>
      <c r="AJ11" s="76" t="str">
        <f>"ADD CONSTRAINT "&amp;D$8&amp;"_pkey PRIMARY KEY"</f>
        <v>ADD CONSTRAINT sny_202310_work_kensa_scm2_pkey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milscm_2023_009.sny_202310_work_kensa_scm2 IS 'ワーク_検体検査データ_スキーマ2';</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milscm_2023_009.sny_202310_work_kensa_scm2.mask_id IS 'マスクID';</v>
      </c>
    </row>
    <row r="14" spans="1:45" s="25" customFormat="1">
      <c r="A14" s="4"/>
      <c r="B14" s="21">
        <f t="shared" ref="B14:B19" si="2">ROW()-12</f>
        <v>2</v>
      </c>
      <c r="C14" s="6" t="s">
        <v>1608</v>
      </c>
      <c r="D14" s="6" t="s">
        <v>1609</v>
      </c>
      <c r="E14" s="8" t="s">
        <v>127</v>
      </c>
      <c r="F14" s="7" t="s">
        <v>1782</v>
      </c>
      <c r="G14" s="7" t="str">
        <f t="shared" ref="G14:G20" si="3">IF(F14="フラグ","boolean",IF(F14="文字列","text",IF(F14="整数","integer",IF(F14="実数","numeric",""))))</f>
        <v>text</v>
      </c>
      <c r="H14" s="26"/>
      <c r="I14" s="10" t="s">
        <v>127</v>
      </c>
      <c r="J14" s="11"/>
      <c r="M14" s="4"/>
      <c r="N14" s="76"/>
      <c r="O14" s="76"/>
      <c r="P14" s="76" t="str">
        <f t="shared" ref="P14:P20" si="4">IF(B14&lt;&gt;1,","&amp;D14,D14)</f>
        <v>,specimen_name</v>
      </c>
      <c r="Q14" s="76" t="str">
        <f t="shared" ref="Q14:Q20" si="5">UPPER(G14)</f>
        <v>TEXT</v>
      </c>
      <c r="R14" s="76" t="str">
        <f t="shared" ref="R14:R20" si="6">IF(H14&lt;&gt;"","default "&amp;IF(G14="text","'"&amp;H14&amp;"'",H14),"")</f>
        <v/>
      </c>
      <c r="S14" s="76" t="str">
        <f t="shared" ref="S14:S20" si="7">IF(I14="○","NOT NULL","")</f>
        <v>NOT NULL</v>
      </c>
      <c r="T14" s="76" t="str">
        <f t="shared" ref="T14:T20" si="8">"--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milscm_2023_009.sny_202310_work_kensa_scm2.specimen_name IS '検体材料';</v>
      </c>
    </row>
    <row r="15" spans="1:45" s="25" customFormat="1">
      <c r="A15" s="4"/>
      <c r="B15" s="21">
        <f t="shared" si="2"/>
        <v>3</v>
      </c>
      <c r="C15" s="6" t="s">
        <v>1610</v>
      </c>
      <c r="D15" s="6" t="s">
        <v>1611</v>
      </c>
      <c r="E15" s="8" t="s">
        <v>127</v>
      </c>
      <c r="F15" s="7" t="s">
        <v>1782</v>
      </c>
      <c r="G15" s="7" t="str">
        <f t="shared" si="3"/>
        <v>text</v>
      </c>
      <c r="H15" s="26"/>
      <c r="I15" s="10" t="s">
        <v>127</v>
      </c>
      <c r="J15" s="11"/>
      <c r="M15" s="4"/>
      <c r="N15" s="76"/>
      <c r="O15" s="76"/>
      <c r="P15" s="76" t="str">
        <f t="shared" si="4"/>
        <v>,sp_code</v>
      </c>
      <c r="Q15" s="76" t="str">
        <f t="shared" si="5"/>
        <v>TEXT</v>
      </c>
      <c r="R15" s="76" t="str">
        <f t="shared" si="6"/>
        <v/>
      </c>
      <c r="S15" s="76" t="str">
        <f t="shared" si="7"/>
        <v>NOT NULL</v>
      </c>
      <c r="T15" s="76" t="str">
        <f t="shared" si="8"/>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milscm_2023_009.sny_202310_work_kensa_scm2.sp_code IS '検体材料コード';</v>
      </c>
    </row>
    <row r="16" spans="1:45" s="25" customFormat="1">
      <c r="A16" s="4"/>
      <c r="B16" s="21">
        <f t="shared" si="2"/>
        <v>4</v>
      </c>
      <c r="C16" s="6" t="s">
        <v>1625</v>
      </c>
      <c r="D16" s="6" t="s">
        <v>1626</v>
      </c>
      <c r="E16" s="8" t="s">
        <v>127</v>
      </c>
      <c r="F16" s="7" t="s">
        <v>1782</v>
      </c>
      <c r="G16" s="7" t="str">
        <f t="shared" si="3"/>
        <v>text</v>
      </c>
      <c r="H16" s="26"/>
      <c r="I16" s="10" t="s">
        <v>127</v>
      </c>
      <c r="J16" s="11"/>
      <c r="M16" s="4"/>
      <c r="N16" s="76"/>
      <c r="O16" s="76"/>
      <c r="P16" s="76" t="str">
        <f t="shared" si="4"/>
        <v>,item_name</v>
      </c>
      <c r="Q16" s="76" t="str">
        <f t="shared" si="5"/>
        <v>TEXT</v>
      </c>
      <c r="R16" s="76" t="str">
        <f t="shared" si="6"/>
        <v/>
      </c>
      <c r="S16" s="76" t="str">
        <f t="shared" si="7"/>
        <v>NOT NULL</v>
      </c>
      <c r="T16" s="76" t="str">
        <f t="shared" si="8"/>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milscm_2023_009.sny_202310_work_kensa_scm2.item_name IS '項目名';</v>
      </c>
    </row>
    <row r="17" spans="1:52" s="25" customFormat="1">
      <c r="A17" s="4"/>
      <c r="B17" s="21">
        <f t="shared" si="2"/>
        <v>5</v>
      </c>
      <c r="C17" s="6" t="s">
        <v>1627</v>
      </c>
      <c r="D17" s="6" t="s">
        <v>1628</v>
      </c>
      <c r="E17" s="8" t="s">
        <v>127</v>
      </c>
      <c r="F17" s="7" t="s">
        <v>1782</v>
      </c>
      <c r="G17" s="7" t="str">
        <f t="shared" si="3"/>
        <v>text</v>
      </c>
      <c r="H17" s="26"/>
      <c r="I17" s="10" t="s">
        <v>127</v>
      </c>
      <c r="J17" s="11"/>
      <c r="M17" s="4"/>
      <c r="N17" s="76"/>
      <c r="O17" s="76"/>
      <c r="P17" s="76" t="str">
        <f t="shared" si="4"/>
        <v>,facility_it_code</v>
      </c>
      <c r="Q17" s="76" t="str">
        <f t="shared" si="5"/>
        <v>TEXT</v>
      </c>
      <c r="R17" s="76" t="str">
        <f t="shared" si="6"/>
        <v/>
      </c>
      <c r="S17" s="76" t="str">
        <f t="shared" si="7"/>
        <v>NOT NULL</v>
      </c>
      <c r="T17" s="76" t="str">
        <f t="shared" si="8"/>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milscm_2023_009.sny_202310_work_kensa_scm2.facility_it_code IS '施設固有コード';</v>
      </c>
    </row>
    <row r="18" spans="1:52" s="25" customFormat="1">
      <c r="A18" s="4"/>
      <c r="B18" s="21">
        <f t="shared" si="2"/>
        <v>6</v>
      </c>
      <c r="C18" s="6" t="s">
        <v>1653</v>
      </c>
      <c r="D18" s="6" t="s">
        <v>276</v>
      </c>
      <c r="E18" s="8" t="s">
        <v>127</v>
      </c>
      <c r="F18" s="7" t="s">
        <v>1782</v>
      </c>
      <c r="G18" s="7" t="str">
        <f t="shared" si="3"/>
        <v>text</v>
      </c>
      <c r="H18" s="26"/>
      <c r="I18" s="10" t="s">
        <v>127</v>
      </c>
      <c r="J18" s="11"/>
      <c r="M18" s="4"/>
      <c r="N18" s="76"/>
      <c r="O18" s="76"/>
      <c r="P18" s="76" t="str">
        <f t="shared" si="4"/>
        <v>,unit</v>
      </c>
      <c r="Q18" s="76" t="str">
        <f t="shared" si="5"/>
        <v>TEXT</v>
      </c>
      <c r="R18" s="76" t="str">
        <f t="shared" si="6"/>
        <v/>
      </c>
      <c r="S18" s="76" t="str">
        <f t="shared" si="7"/>
        <v>NOT NULL</v>
      </c>
      <c r="T18" s="76" t="str">
        <f t="shared" si="8"/>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milscm_2023_009.sny_202310_work_kensa_scm2.unit IS '単位';</v>
      </c>
    </row>
    <row r="19" spans="1:52" s="25" customFormat="1">
      <c r="A19" s="4"/>
      <c r="B19" s="21">
        <f t="shared" si="2"/>
        <v>7</v>
      </c>
      <c r="C19" s="6" t="s">
        <v>1550</v>
      </c>
      <c r="D19" s="6" t="s">
        <v>1551</v>
      </c>
      <c r="E19" s="8" t="s">
        <v>127</v>
      </c>
      <c r="F19" s="7" t="s">
        <v>1782</v>
      </c>
      <c r="G19" s="7" t="str">
        <f t="shared" si="3"/>
        <v>text</v>
      </c>
      <c r="H19" s="26"/>
      <c r="I19" s="10" t="s">
        <v>127</v>
      </c>
      <c r="J19" s="11"/>
      <c r="M19" s="4"/>
      <c r="N19" s="76"/>
      <c r="O19" s="76"/>
      <c r="P19" s="76" t="str">
        <f t="shared" si="4"/>
        <v>,sample_time</v>
      </c>
      <c r="Q19" s="76" t="str">
        <f t="shared" si="5"/>
        <v>TEXT</v>
      </c>
      <c r="R19" s="76" t="str">
        <f t="shared" si="6"/>
        <v/>
      </c>
      <c r="S19" s="76" t="str">
        <f t="shared" si="7"/>
        <v>NOT NULL</v>
      </c>
      <c r="T19" s="76" t="str">
        <f t="shared" si="8"/>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milscm_2023_009.sny_202310_work_kensa_scm2.sample_time IS '採取日時';</v>
      </c>
    </row>
    <row r="20" spans="1:52" s="25" customFormat="1" ht="37.5">
      <c r="A20" s="4"/>
      <c r="B20" s="21">
        <f t="shared" ref="B20:B21" si="9">ROW()-12</f>
        <v>8</v>
      </c>
      <c r="C20" s="6" t="s">
        <v>4304</v>
      </c>
      <c r="D20" s="6" t="s">
        <v>4303</v>
      </c>
      <c r="E20" s="8" t="s">
        <v>127</v>
      </c>
      <c r="F20" s="7" t="s">
        <v>4305</v>
      </c>
      <c r="G20" s="7" t="str">
        <f t="shared" si="3"/>
        <v>integer</v>
      </c>
      <c r="H20" s="26"/>
      <c r="I20" s="10" t="s">
        <v>127</v>
      </c>
      <c r="J20" s="11" t="s">
        <v>4309</v>
      </c>
      <c r="M20" s="4"/>
      <c r="N20" s="76"/>
      <c r="O20" s="76"/>
      <c r="P20" s="76" t="str">
        <f t="shared" si="4"/>
        <v>,row_no</v>
      </c>
      <c r="Q20" s="76" t="str">
        <f t="shared" si="5"/>
        <v>INTEGER</v>
      </c>
      <c r="R20" s="76" t="str">
        <f t="shared" si="6"/>
        <v/>
      </c>
      <c r="S20" s="76" t="str">
        <f t="shared" si="7"/>
        <v>NOT NULL</v>
      </c>
      <c r="T20" s="76" t="str">
        <f t="shared" si="8"/>
        <v>-- 行番号</v>
      </c>
      <c r="U20" s="4"/>
      <c r="AA20" s="4"/>
      <c r="AB20" s="4"/>
      <c r="AC20" s="4"/>
      <c r="AD20" s="4"/>
      <c r="AE20" s="4"/>
      <c r="AF20" s="4"/>
      <c r="AG20" s="4"/>
      <c r="AH20" s="4"/>
      <c r="AI20" s="4"/>
      <c r="AJ20" s="76" t="str">
        <f>IF(E20="○",IF(COUNTA(E$13:E20)=1,"",",")&amp;D20,"")</f>
        <v>,row_no</v>
      </c>
      <c r="AK20" s="4"/>
      <c r="AL20" s="4"/>
      <c r="AM20" s="4"/>
      <c r="AN20" s="4"/>
      <c r="AO20" s="4"/>
      <c r="AP20" s="4"/>
      <c r="AQ20" s="4"/>
      <c r="AR20" s="4"/>
      <c r="AS20" s="76" t="str">
        <f>"COMMENT ON COLUMN "&amp;エンティティ一覧!$O$2&amp;"."&amp;D$8&amp;"."&amp;D20&amp;" IS '"&amp;C20&amp;"';"</f>
        <v>COMMENT ON COLUMN milscm_2023_009.sny_202310_work_kensa_scm2.row_no IS '行番号';</v>
      </c>
    </row>
    <row r="21" spans="1:52" s="25" customFormat="1">
      <c r="A21" s="4"/>
      <c r="B21" s="21">
        <f t="shared" si="9"/>
        <v>9</v>
      </c>
      <c r="C21" s="6" t="s">
        <v>1641</v>
      </c>
      <c r="D21" s="6" t="s">
        <v>1642</v>
      </c>
      <c r="E21" s="8"/>
      <c r="F21" s="7" t="s">
        <v>1782</v>
      </c>
      <c r="G21" s="7" t="str">
        <f t="shared" ref="G21:G22" si="10">IF(F21="フラグ","boolean",IF(F21="文字列","text",IF(F21="整数","integer",IF(F21="実数","numeric",""))))</f>
        <v>text</v>
      </c>
      <c r="H21" s="26"/>
      <c r="I21" s="10"/>
      <c r="J21" s="11"/>
      <c r="M21" s="4"/>
      <c r="N21" s="76"/>
      <c r="O21" s="76"/>
      <c r="P21" s="76" t="str">
        <f t="shared" ref="P21:P22" si="11">IF(B21&lt;&gt;1,","&amp;D21,D21)</f>
        <v>,value</v>
      </c>
      <c r="Q21" s="76" t="str">
        <f t="shared" si="0"/>
        <v>TEXT</v>
      </c>
      <c r="R21" s="76" t="str">
        <f t="shared" si="1"/>
        <v/>
      </c>
      <c r="S21" s="76" t="str">
        <f t="shared" ref="S21:S22" si="12">IF(I21="○","NOT NULL","")</f>
        <v/>
      </c>
      <c r="T21" s="76" t="str">
        <f t="shared" ref="T21:T22" si="13">"-- "&amp;C21</f>
        <v>-- 検査結果値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milscm_2023_009.sny_202310_work_kensa_scm2.value IS '検査結果値';</v>
      </c>
    </row>
    <row r="22" spans="1:52" s="25" customFormat="1" ht="19.5" thickBot="1">
      <c r="A22" s="4"/>
      <c r="B22" s="27">
        <f>ROW()-12</f>
        <v>10</v>
      </c>
      <c r="C22" s="57" t="s">
        <v>1643</v>
      </c>
      <c r="D22" s="57" t="s">
        <v>1644</v>
      </c>
      <c r="E22" s="56"/>
      <c r="F22" s="56" t="s">
        <v>1782</v>
      </c>
      <c r="G22" s="56" t="str">
        <f t="shared" si="10"/>
        <v>text</v>
      </c>
      <c r="H22" s="59"/>
      <c r="I22" s="60"/>
      <c r="J22" s="64"/>
      <c r="N22" s="76"/>
      <c r="O22" s="76"/>
      <c r="P22" s="76" t="str">
        <f t="shared" si="11"/>
        <v>,num_value</v>
      </c>
      <c r="Q22" s="76" t="str">
        <f t="shared" si="0"/>
        <v>TEXT</v>
      </c>
      <c r="R22" s="76" t="str">
        <f t="shared" si="1"/>
        <v/>
      </c>
      <c r="S22" s="76" t="str">
        <f t="shared" si="12"/>
        <v/>
      </c>
      <c r="T22" s="76" t="str">
        <f t="shared" si="13"/>
        <v>-- 数値結果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milscm_2023_009.sny_202310_work_kensa_scm2.num_value IS '数値結果';</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ENT_41_12</v>
      </c>
      <c r="E6" s="240"/>
      <c r="F6" s="240"/>
      <c r="G6" s="240"/>
      <c r="H6" s="240"/>
      <c r="I6" s="240"/>
      <c r="J6" s="241"/>
    </row>
    <row r="7" spans="1:45">
      <c r="B7" s="229" t="s">
        <v>115</v>
      </c>
      <c r="C7" s="230"/>
      <c r="D7" s="231" t="s">
        <v>4215</v>
      </c>
      <c r="E7" s="232"/>
      <c r="F7" s="232"/>
      <c r="G7" s="232"/>
      <c r="H7" s="232"/>
      <c r="I7" s="232"/>
      <c r="J7" s="233"/>
    </row>
    <row r="8" spans="1:45">
      <c r="B8" s="229" t="s">
        <v>116</v>
      </c>
      <c r="C8" s="230"/>
      <c r="D8" s="231" t="str">
        <f>エンティティ一覧!AE2&amp;"_"&amp;D5&amp;"_kensa_scm4"</f>
        <v>sny_202310_work_kensa_scm4</v>
      </c>
      <c r="E8" s="232"/>
      <c r="F8" s="232"/>
      <c r="G8" s="232"/>
      <c r="H8" s="232"/>
      <c r="I8" s="232"/>
      <c r="J8" s="233"/>
    </row>
    <row r="9" spans="1:45" ht="19.5" customHeight="1" thickBot="1">
      <c r="B9" s="234" t="s">
        <v>117</v>
      </c>
      <c r="C9" s="235"/>
      <c r="D9" s="236" t="s">
        <v>4216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milscm_2023_009.sny_202310_work_kensa_scm4;</v>
      </c>
      <c r="O10" s="76"/>
      <c r="P10" s="76"/>
      <c r="Q10" s="76"/>
      <c r="R10" s="76"/>
      <c r="S10" s="76"/>
      <c r="T10" s="76"/>
      <c r="AJ10" s="76" t="str">
        <f>"ALTER TABLE ONLY "&amp;エンティティ一覧!$O$2&amp;"."&amp;D$8</f>
        <v>ALTER TABLE ONLY milscm_2023_009.sny_202310_work_kensa_scm4</v>
      </c>
      <c r="AS10" s="76" t="str">
        <f>"ALTER TABLE "&amp;エンティティ一覧!$O$2&amp;"."&amp;D$8&amp;" OWNER TO pgmisgrp1;"</f>
        <v>ALTER TABLE milscm_2023_009.sny_202310_work_kensa_scm4 OWNER TO pgmisgrp1;</v>
      </c>
    </row>
    <row r="11" spans="1:45" ht="19.5" thickBot="1">
      <c r="B11" s="20" t="s">
        <v>118</v>
      </c>
      <c r="C11" s="19"/>
      <c r="D11" s="5"/>
      <c r="E11" s="5"/>
      <c r="F11" s="5"/>
      <c r="G11" s="5"/>
      <c r="H11" s="5"/>
      <c r="I11" s="5"/>
      <c r="J11" s="18"/>
      <c r="N11" s="76" t="str">
        <f>"CREATE TABLE  "&amp;エンティティ一覧!$O$2&amp;"."&amp;D$8</f>
        <v>CREATE TABLE  milscm_2023_009.sny_202310_work_kensa_scm4</v>
      </c>
      <c r="O11" s="76"/>
      <c r="P11" s="76"/>
      <c r="Q11" s="76"/>
      <c r="R11" s="76"/>
      <c r="S11" s="76"/>
      <c r="T11" s="76"/>
      <c r="AJ11" s="76" t="str">
        <f>"ADD CONSTRAINT "&amp;D$8&amp;"_pkey PRIMARY KEY"</f>
        <v>ADD CONSTRAINT sny_202310_work_kensa_scm4_pkey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milscm_2023_009.sny_202310_work_kensa_scm4 IS 'ワーク_検体検査データ_スキーマ4';</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milscm_2023_009.sny_202310_work_kensa_scm4.mask_id IS 'マスクID';</v>
      </c>
    </row>
    <row r="14" spans="1:45" s="25" customFormat="1">
      <c r="A14" s="4"/>
      <c r="B14" s="21">
        <f t="shared" ref="B14:B21" si="2">ROW()-12</f>
        <v>2</v>
      </c>
      <c r="C14" s="6" t="s">
        <v>1608</v>
      </c>
      <c r="D14" s="6" t="s">
        <v>1609</v>
      </c>
      <c r="E14" s="8" t="s">
        <v>127</v>
      </c>
      <c r="F14" s="7" t="s">
        <v>1782</v>
      </c>
      <c r="G14" s="7" t="str">
        <f t="shared" ref="G14:G22" si="3">IF(F14="フラグ","boolean",IF(F14="文字列","text",IF(F14="整数","integer",IF(F14="実数","numeric",""))))</f>
        <v>text</v>
      </c>
      <c r="H14" s="26"/>
      <c r="I14" s="10" t="s">
        <v>127</v>
      </c>
      <c r="J14" s="11"/>
      <c r="M14" s="4"/>
      <c r="N14" s="76"/>
      <c r="O14" s="76"/>
      <c r="P14" s="76" t="str">
        <f t="shared" ref="P14:P22" si="4">IF(B14&lt;&gt;1,","&amp;D14,D14)</f>
        <v>,specimen_name</v>
      </c>
      <c r="Q14" s="76" t="str">
        <f t="shared" si="0"/>
        <v>TEXT</v>
      </c>
      <c r="R14" s="76" t="str">
        <f t="shared" si="1"/>
        <v/>
      </c>
      <c r="S14" s="76" t="str">
        <f t="shared" ref="S14:S22" si="5">IF(I14="○","NOT NULL","")</f>
        <v>NOT NULL</v>
      </c>
      <c r="T14" s="76" t="str">
        <f t="shared" ref="T14:T22" si="6">"--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milscm_2023_009.sny_202310_work_kensa_scm4.specimen_name IS '検体材料';</v>
      </c>
    </row>
    <row r="15" spans="1:45" s="25" customFormat="1">
      <c r="A15" s="4"/>
      <c r="B15" s="21">
        <f t="shared" si="2"/>
        <v>3</v>
      </c>
      <c r="C15" s="6" t="s">
        <v>1610</v>
      </c>
      <c r="D15" s="6" t="s">
        <v>1611</v>
      </c>
      <c r="E15" s="8" t="s">
        <v>127</v>
      </c>
      <c r="F15" s="7" t="s">
        <v>1782</v>
      </c>
      <c r="G15" s="7" t="str">
        <f t="shared" si="3"/>
        <v>text</v>
      </c>
      <c r="H15" s="26"/>
      <c r="I15" s="10" t="s">
        <v>127</v>
      </c>
      <c r="J15" s="11"/>
      <c r="M15" s="4"/>
      <c r="N15" s="76"/>
      <c r="O15" s="76"/>
      <c r="P15" s="76" t="str">
        <f t="shared" si="4"/>
        <v>,sp_code</v>
      </c>
      <c r="Q15" s="76" t="str">
        <f t="shared" si="0"/>
        <v>TEXT</v>
      </c>
      <c r="R15" s="76" t="str">
        <f t="shared" si="1"/>
        <v/>
      </c>
      <c r="S15" s="76" t="str">
        <f t="shared" si="5"/>
        <v>NOT NULL</v>
      </c>
      <c r="T15" s="76" t="str">
        <f t="shared" si="6"/>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milscm_2023_009.sny_202310_work_kensa_scm4.sp_code IS '検体材料コード';</v>
      </c>
    </row>
    <row r="16" spans="1:45" s="25" customFormat="1">
      <c r="A16" s="4"/>
      <c r="B16" s="21">
        <f t="shared" si="2"/>
        <v>4</v>
      </c>
      <c r="C16" s="6" t="s">
        <v>1625</v>
      </c>
      <c r="D16" s="6" t="s">
        <v>1626</v>
      </c>
      <c r="E16" s="8" t="s">
        <v>127</v>
      </c>
      <c r="F16" s="7" t="s">
        <v>1782</v>
      </c>
      <c r="G16" s="7" t="str">
        <f t="shared" si="3"/>
        <v>text</v>
      </c>
      <c r="H16" s="26"/>
      <c r="I16" s="10" t="s">
        <v>127</v>
      </c>
      <c r="J16" s="11"/>
      <c r="M16" s="4"/>
      <c r="N16" s="76"/>
      <c r="O16" s="76"/>
      <c r="P16" s="76" t="str">
        <f t="shared" si="4"/>
        <v>,item_name</v>
      </c>
      <c r="Q16" s="76" t="str">
        <f t="shared" si="0"/>
        <v>TEXT</v>
      </c>
      <c r="R16" s="76" t="str">
        <f t="shared" si="1"/>
        <v/>
      </c>
      <c r="S16" s="76" t="str">
        <f t="shared" si="5"/>
        <v>NOT NULL</v>
      </c>
      <c r="T16" s="76" t="str">
        <f t="shared" si="6"/>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milscm_2023_009.sny_202310_work_kensa_scm4.item_name IS '項目名';</v>
      </c>
    </row>
    <row r="17" spans="1:52" s="25" customFormat="1">
      <c r="A17" s="4"/>
      <c r="B17" s="21">
        <f t="shared" si="2"/>
        <v>5</v>
      </c>
      <c r="C17" s="6" t="s">
        <v>1627</v>
      </c>
      <c r="D17" s="6" t="s">
        <v>1628</v>
      </c>
      <c r="E17" s="8" t="s">
        <v>127</v>
      </c>
      <c r="F17" s="7" t="s">
        <v>1782</v>
      </c>
      <c r="G17" s="7" t="str">
        <f t="shared" si="3"/>
        <v>text</v>
      </c>
      <c r="H17" s="26"/>
      <c r="I17" s="10" t="s">
        <v>127</v>
      </c>
      <c r="J17" s="11"/>
      <c r="M17" s="4"/>
      <c r="N17" s="76"/>
      <c r="O17" s="76"/>
      <c r="P17" s="76" t="str">
        <f t="shared" si="4"/>
        <v>,facility_it_code</v>
      </c>
      <c r="Q17" s="76" t="str">
        <f t="shared" si="0"/>
        <v>TEXT</v>
      </c>
      <c r="R17" s="76" t="str">
        <f t="shared" si="1"/>
        <v/>
      </c>
      <c r="S17" s="76" t="str">
        <f t="shared" si="5"/>
        <v>NOT NULL</v>
      </c>
      <c r="T17" s="76" t="str">
        <f t="shared" si="6"/>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milscm_2023_009.sny_202310_work_kensa_scm4.facility_it_code IS '施設固有コード';</v>
      </c>
    </row>
    <row r="18" spans="1:52" s="25" customFormat="1">
      <c r="A18" s="4"/>
      <c r="B18" s="21">
        <f t="shared" si="2"/>
        <v>6</v>
      </c>
      <c r="C18" s="6" t="s">
        <v>1653</v>
      </c>
      <c r="D18" s="6" t="s">
        <v>276</v>
      </c>
      <c r="E18" s="8" t="s">
        <v>127</v>
      </c>
      <c r="F18" s="7" t="s">
        <v>1782</v>
      </c>
      <c r="G18" s="7" t="str">
        <f t="shared" si="3"/>
        <v>text</v>
      </c>
      <c r="H18" s="26"/>
      <c r="I18" s="10" t="s">
        <v>127</v>
      </c>
      <c r="J18" s="11"/>
      <c r="M18" s="4"/>
      <c r="N18" s="76"/>
      <c r="O18" s="76"/>
      <c r="P18" s="76" t="str">
        <f t="shared" si="4"/>
        <v>,unit</v>
      </c>
      <c r="Q18" s="76" t="str">
        <f t="shared" si="0"/>
        <v>TEXT</v>
      </c>
      <c r="R18" s="76" t="str">
        <f t="shared" si="1"/>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milscm_2023_009.sny_202310_work_kensa_scm4.unit IS '単位';</v>
      </c>
    </row>
    <row r="19" spans="1:52" s="25" customFormat="1">
      <c r="A19" s="4"/>
      <c r="B19" s="21">
        <f t="shared" si="2"/>
        <v>7</v>
      </c>
      <c r="C19" s="6" t="s">
        <v>1550</v>
      </c>
      <c r="D19" s="6" t="s">
        <v>1551</v>
      </c>
      <c r="E19" s="8" t="s">
        <v>127</v>
      </c>
      <c r="F19" s="7" t="s">
        <v>1782</v>
      </c>
      <c r="G19" s="7" t="str">
        <f t="shared" si="3"/>
        <v>text</v>
      </c>
      <c r="H19" s="26"/>
      <c r="I19" s="10" t="s">
        <v>127</v>
      </c>
      <c r="J19" s="11"/>
      <c r="M19" s="4"/>
      <c r="N19" s="76"/>
      <c r="O19" s="76"/>
      <c r="P19" s="76" t="str">
        <f t="shared" si="4"/>
        <v>,sample_time</v>
      </c>
      <c r="Q19" s="76" t="str">
        <f t="shared" si="0"/>
        <v>TEXT</v>
      </c>
      <c r="R19" s="76" t="str">
        <f t="shared" si="1"/>
        <v/>
      </c>
      <c r="S19" s="76" t="str">
        <f t="shared" si="5"/>
        <v>NOT NULL</v>
      </c>
      <c r="T19" s="76" t="str">
        <f t="shared" si="6"/>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milscm_2023_009.sny_202310_work_kensa_scm4.sample_time IS '採取日時';</v>
      </c>
    </row>
    <row r="20" spans="1:52" s="25" customFormat="1">
      <c r="A20" s="4"/>
      <c r="B20" s="21">
        <f t="shared" si="2"/>
        <v>8</v>
      </c>
      <c r="C20" s="6" t="s">
        <v>4304</v>
      </c>
      <c r="D20" s="6" t="s">
        <v>4303</v>
      </c>
      <c r="E20" s="8" t="s">
        <v>127</v>
      </c>
      <c r="F20" s="7" t="s">
        <v>4305</v>
      </c>
      <c r="G20" s="7" t="str">
        <f t="shared" si="3"/>
        <v>integer</v>
      </c>
      <c r="H20" s="26"/>
      <c r="I20" s="10" t="s">
        <v>127</v>
      </c>
      <c r="J20" s="11" t="s">
        <v>4306</v>
      </c>
      <c r="M20" s="4"/>
      <c r="N20" s="76"/>
      <c r="O20" s="76"/>
      <c r="P20" s="76" t="str">
        <f t="shared" si="4"/>
        <v>,row_no</v>
      </c>
      <c r="Q20" s="76" t="str">
        <f t="shared" si="0"/>
        <v>INTEGER</v>
      </c>
      <c r="R20" s="76" t="str">
        <f t="shared" si="1"/>
        <v/>
      </c>
      <c r="S20" s="76" t="str">
        <f t="shared" si="5"/>
        <v>NOT NULL</v>
      </c>
      <c r="T20" s="76" t="str">
        <f t="shared" si="6"/>
        <v>-- 行番号</v>
      </c>
      <c r="U20" s="4"/>
      <c r="AA20" s="4"/>
      <c r="AB20" s="4"/>
      <c r="AC20" s="4"/>
      <c r="AD20" s="4"/>
      <c r="AE20" s="4"/>
      <c r="AF20" s="4"/>
      <c r="AG20" s="4"/>
      <c r="AH20" s="4"/>
      <c r="AI20" s="4"/>
      <c r="AJ20" s="76" t="str">
        <f>IF(E20="○",IF(COUNTA(E$13:E20)=1,"",",")&amp;D20,"")</f>
        <v>,row_no</v>
      </c>
      <c r="AK20" s="4"/>
      <c r="AL20" s="4"/>
      <c r="AM20" s="4"/>
      <c r="AN20" s="4"/>
      <c r="AO20" s="4"/>
      <c r="AP20" s="4"/>
      <c r="AQ20" s="4"/>
      <c r="AR20" s="4"/>
      <c r="AS20" s="76" t="str">
        <f>"COMMENT ON COLUMN "&amp;エンティティ一覧!$O$2&amp;"."&amp;D$8&amp;"."&amp;D20&amp;" IS '"&amp;C20&amp;"';"</f>
        <v>COMMENT ON COLUMN milscm_2023_009.sny_202310_work_kensa_scm4.row_no IS '行番号';</v>
      </c>
    </row>
    <row r="21" spans="1:52" s="25" customFormat="1">
      <c r="A21" s="4"/>
      <c r="B21" s="21">
        <f t="shared" si="2"/>
        <v>9</v>
      </c>
      <c r="C21" s="6" t="s">
        <v>1641</v>
      </c>
      <c r="D21" s="6" t="s">
        <v>1642</v>
      </c>
      <c r="E21" s="8"/>
      <c r="F21" s="7" t="s">
        <v>1782</v>
      </c>
      <c r="G21" s="7" t="str">
        <f t="shared" si="3"/>
        <v>text</v>
      </c>
      <c r="H21" s="26"/>
      <c r="I21" s="10"/>
      <c r="J21" s="11"/>
      <c r="M21" s="4"/>
      <c r="N21" s="76"/>
      <c r="O21" s="76"/>
      <c r="P21" s="76" t="str">
        <f t="shared" si="4"/>
        <v>,value</v>
      </c>
      <c r="Q21" s="76" t="str">
        <f t="shared" si="0"/>
        <v>TEXT</v>
      </c>
      <c r="R21" s="76" t="str">
        <f t="shared" si="1"/>
        <v/>
      </c>
      <c r="S21" s="76" t="str">
        <f t="shared" si="5"/>
        <v/>
      </c>
      <c r="T21" s="76" t="str">
        <f t="shared" si="6"/>
        <v>-- 検査結果値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milscm_2023_009.sny_202310_work_kensa_scm4.value IS '検査結果値';</v>
      </c>
    </row>
    <row r="22" spans="1:52" s="25" customFormat="1" ht="19.5" thickBot="1">
      <c r="A22" s="4"/>
      <c r="B22" s="27">
        <f>ROW()-12</f>
        <v>10</v>
      </c>
      <c r="C22" s="57" t="s">
        <v>1643</v>
      </c>
      <c r="D22" s="57" t="s">
        <v>1644</v>
      </c>
      <c r="E22" s="56"/>
      <c r="F22" s="56" t="s">
        <v>1782</v>
      </c>
      <c r="G22" s="56" t="str">
        <f t="shared" si="3"/>
        <v>text</v>
      </c>
      <c r="H22" s="59"/>
      <c r="I22" s="60"/>
      <c r="J22" s="64"/>
      <c r="N22" s="76"/>
      <c r="O22" s="76"/>
      <c r="P22" s="76" t="str">
        <f t="shared" si="4"/>
        <v>,num_value</v>
      </c>
      <c r="Q22" s="76" t="str">
        <f t="shared" si="0"/>
        <v>TEXT</v>
      </c>
      <c r="R22" s="76" t="str">
        <f t="shared" si="1"/>
        <v/>
      </c>
      <c r="S22" s="76" t="str">
        <f t="shared" si="5"/>
        <v/>
      </c>
      <c r="T22" s="76" t="str">
        <f t="shared" si="6"/>
        <v>-- 数値結果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milscm_2023_009.sny_202310_work_kensa_scm4.num_value IS '数値結果';</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election activeCell="G19" sqref="G1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ENT_41_13</v>
      </c>
      <c r="E6" s="240"/>
      <c r="F6" s="240"/>
      <c r="G6" s="240"/>
      <c r="H6" s="240"/>
      <c r="I6" s="240"/>
      <c r="J6" s="241"/>
    </row>
    <row r="7" spans="1:45">
      <c r="B7" s="229" t="s">
        <v>115</v>
      </c>
      <c r="C7" s="230"/>
      <c r="D7" s="231" t="s">
        <v>4217</v>
      </c>
      <c r="E7" s="232"/>
      <c r="F7" s="232"/>
      <c r="G7" s="232"/>
      <c r="H7" s="232"/>
      <c r="I7" s="232"/>
      <c r="J7" s="233"/>
    </row>
    <row r="8" spans="1:45">
      <c r="B8" s="229" t="s">
        <v>116</v>
      </c>
      <c r="C8" s="230"/>
      <c r="D8" s="231" t="str">
        <f>エンティティ一覧!AE2&amp;"_"&amp;D5&amp;"_kensa"</f>
        <v>sny_202310_work_kensa</v>
      </c>
      <c r="E8" s="232"/>
      <c r="F8" s="232"/>
      <c r="G8" s="232"/>
      <c r="H8" s="232"/>
      <c r="I8" s="232"/>
      <c r="J8" s="233"/>
    </row>
    <row r="9" spans="1:45" ht="19.5" customHeight="1" thickBot="1">
      <c r="B9" s="234" t="s">
        <v>117</v>
      </c>
      <c r="C9" s="235"/>
      <c r="D9" s="236" t="s">
        <v>4218</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milscm_2023_009.sny_202310_work_kensa;</v>
      </c>
      <c r="O10" s="76"/>
      <c r="P10" s="76"/>
      <c r="Q10" s="76"/>
      <c r="R10" s="76"/>
      <c r="S10" s="76"/>
      <c r="T10" s="76"/>
      <c r="AJ10" s="76" t="str">
        <f>"ALTER TABLE ONLY "&amp;エンティティ一覧!$O$2&amp;"."&amp;D$8</f>
        <v>ALTER TABLE ONLY milscm_2023_009.sny_202310_work_kensa</v>
      </c>
      <c r="AS10" s="76" t="str">
        <f>"ALTER TABLE "&amp;エンティティ一覧!$O$2&amp;"."&amp;D$8&amp;" OWNER TO pgmisgrp1;"</f>
        <v>ALTER TABLE milscm_2023_009.sny_202310_work_kensa OWNER TO pgmisgrp1;</v>
      </c>
    </row>
    <row r="11" spans="1:45" ht="19.5" thickBot="1">
      <c r="B11" s="20" t="s">
        <v>118</v>
      </c>
      <c r="C11" s="19"/>
      <c r="D11" s="5"/>
      <c r="E11" s="5"/>
      <c r="F11" s="5"/>
      <c r="G11" s="5"/>
      <c r="H11" s="5"/>
      <c r="I11" s="5"/>
      <c r="J11" s="18"/>
      <c r="N11" s="76" t="str">
        <f>"CREATE TABLE  "&amp;エンティティ一覧!$O$2&amp;"."&amp;D$8</f>
        <v>CREATE TABLE  milscm_2023_009.sny_202310_work_kensa</v>
      </c>
      <c r="O11" s="76"/>
      <c r="P11" s="76"/>
      <c r="Q11" s="76"/>
      <c r="R11" s="76"/>
      <c r="S11" s="76"/>
      <c r="T11" s="76"/>
      <c r="AJ11" s="76" t="str">
        <f>"ADD CONSTRAINT "&amp;D$8&amp;"_pkey PRIMARY KEY"</f>
        <v>ADD CONSTRAINT sny_202310_work_kensa_pkey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 IS 'ワーク_検体検査データ';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milscm_2023_009.sny_202310_work_kensa.mask_id IS 'マスクID';</v>
      </c>
    </row>
    <row r="14" spans="1:45" s="25" customFormat="1">
      <c r="A14" s="4"/>
      <c r="B14" s="21">
        <f t="shared" ref="B14:B21" si="2">ROW()-12</f>
        <v>2</v>
      </c>
      <c r="C14" s="6" t="s">
        <v>1608</v>
      </c>
      <c r="D14" s="6" t="s">
        <v>1609</v>
      </c>
      <c r="E14" s="8" t="s">
        <v>127</v>
      </c>
      <c r="F14" s="7" t="s">
        <v>1782</v>
      </c>
      <c r="G14" s="7" t="str">
        <f t="shared" ref="G14:G22" si="3">IF(F14="フラグ","boolean",IF(F14="文字列","text",IF(F14="整数","integer",IF(F14="実数","numeric",""))))</f>
        <v>text</v>
      </c>
      <c r="H14" s="26"/>
      <c r="I14" s="10" t="s">
        <v>127</v>
      </c>
      <c r="J14" s="11"/>
      <c r="M14" s="4"/>
      <c r="N14" s="76"/>
      <c r="O14" s="76"/>
      <c r="P14" s="76" t="str">
        <f t="shared" ref="P14:P22" si="4">IF(B14&lt;&gt;1,","&amp;D14,D14)</f>
        <v>,specimen_name</v>
      </c>
      <c r="Q14" s="76" t="str">
        <f t="shared" si="0"/>
        <v>TEXT</v>
      </c>
      <c r="R14" s="76" t="str">
        <f t="shared" si="1"/>
        <v/>
      </c>
      <c r="S14" s="76" t="str">
        <f t="shared" ref="S14:S22" si="5">IF(I14="○","NOT NULL","")</f>
        <v>NOT NULL</v>
      </c>
      <c r="T14" s="76" t="str">
        <f t="shared" ref="T14:T22" si="6">"--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milscm_2023_009.sny_202310_work_kensa.specimen_name IS '検体材料';</v>
      </c>
    </row>
    <row r="15" spans="1:45" s="25" customFormat="1">
      <c r="A15" s="4"/>
      <c r="B15" s="21">
        <f t="shared" si="2"/>
        <v>3</v>
      </c>
      <c r="C15" s="6" t="s">
        <v>1610</v>
      </c>
      <c r="D15" s="6" t="s">
        <v>1611</v>
      </c>
      <c r="E15" s="8" t="s">
        <v>127</v>
      </c>
      <c r="F15" s="7" t="s">
        <v>1782</v>
      </c>
      <c r="G15" s="7" t="str">
        <f t="shared" si="3"/>
        <v>text</v>
      </c>
      <c r="H15" s="26"/>
      <c r="I15" s="10" t="s">
        <v>127</v>
      </c>
      <c r="J15" s="11"/>
      <c r="M15" s="4"/>
      <c r="N15" s="76"/>
      <c r="O15" s="76"/>
      <c r="P15" s="76" t="str">
        <f t="shared" si="4"/>
        <v>,sp_code</v>
      </c>
      <c r="Q15" s="76" t="str">
        <f t="shared" si="0"/>
        <v>TEXT</v>
      </c>
      <c r="R15" s="76" t="str">
        <f t="shared" si="1"/>
        <v/>
      </c>
      <c r="S15" s="76" t="str">
        <f t="shared" si="5"/>
        <v>NOT NULL</v>
      </c>
      <c r="T15" s="76" t="str">
        <f t="shared" si="6"/>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milscm_2023_009.sny_202310_work_kensa.sp_code IS '検体材料コード';</v>
      </c>
    </row>
    <row r="16" spans="1:45" s="25" customFormat="1">
      <c r="A16" s="4"/>
      <c r="B16" s="21">
        <f t="shared" si="2"/>
        <v>4</v>
      </c>
      <c r="C16" s="6" t="s">
        <v>1625</v>
      </c>
      <c r="D16" s="6" t="s">
        <v>1626</v>
      </c>
      <c r="E16" s="8" t="s">
        <v>127</v>
      </c>
      <c r="F16" s="7" t="s">
        <v>1782</v>
      </c>
      <c r="G16" s="7" t="str">
        <f t="shared" si="3"/>
        <v>text</v>
      </c>
      <c r="H16" s="26"/>
      <c r="I16" s="10" t="s">
        <v>127</v>
      </c>
      <c r="J16" s="11"/>
      <c r="M16" s="4"/>
      <c r="N16" s="76"/>
      <c r="O16" s="76"/>
      <c r="P16" s="76" t="str">
        <f t="shared" si="4"/>
        <v>,item_name</v>
      </c>
      <c r="Q16" s="76" t="str">
        <f t="shared" si="0"/>
        <v>TEXT</v>
      </c>
      <c r="R16" s="76" t="str">
        <f t="shared" si="1"/>
        <v/>
      </c>
      <c r="S16" s="76" t="str">
        <f t="shared" si="5"/>
        <v>NOT NULL</v>
      </c>
      <c r="T16" s="76" t="str">
        <f t="shared" si="6"/>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milscm_2023_009.sny_202310_work_kensa.item_name IS '項目名';</v>
      </c>
    </row>
    <row r="17" spans="1:52" s="25" customFormat="1">
      <c r="A17" s="4"/>
      <c r="B17" s="21">
        <f t="shared" si="2"/>
        <v>5</v>
      </c>
      <c r="C17" s="6" t="s">
        <v>1627</v>
      </c>
      <c r="D17" s="6" t="s">
        <v>1628</v>
      </c>
      <c r="E17" s="8" t="s">
        <v>127</v>
      </c>
      <c r="F17" s="7" t="s">
        <v>1782</v>
      </c>
      <c r="G17" s="7" t="str">
        <f t="shared" si="3"/>
        <v>text</v>
      </c>
      <c r="H17" s="26"/>
      <c r="I17" s="10" t="s">
        <v>127</v>
      </c>
      <c r="J17" s="11"/>
      <c r="M17" s="4"/>
      <c r="N17" s="76"/>
      <c r="O17" s="76"/>
      <c r="P17" s="76" t="str">
        <f t="shared" si="4"/>
        <v>,facility_it_code</v>
      </c>
      <c r="Q17" s="76" t="str">
        <f t="shared" si="0"/>
        <v>TEXT</v>
      </c>
      <c r="R17" s="76" t="str">
        <f t="shared" si="1"/>
        <v/>
      </c>
      <c r="S17" s="76" t="str">
        <f t="shared" si="5"/>
        <v>NOT NULL</v>
      </c>
      <c r="T17" s="76" t="str">
        <f t="shared" si="6"/>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milscm_2023_009.sny_202310_work_kensa.facility_it_code IS '施設固有コード';</v>
      </c>
    </row>
    <row r="18" spans="1:52" s="25" customFormat="1">
      <c r="A18" s="4"/>
      <c r="B18" s="21">
        <f t="shared" si="2"/>
        <v>6</v>
      </c>
      <c r="C18" s="6" t="s">
        <v>1653</v>
      </c>
      <c r="D18" s="6" t="s">
        <v>276</v>
      </c>
      <c r="E18" s="8" t="s">
        <v>127</v>
      </c>
      <c r="F18" s="7" t="s">
        <v>1782</v>
      </c>
      <c r="G18" s="7" t="str">
        <f t="shared" si="3"/>
        <v>text</v>
      </c>
      <c r="H18" s="26"/>
      <c r="I18" s="10" t="s">
        <v>127</v>
      </c>
      <c r="J18" s="11"/>
      <c r="M18" s="4"/>
      <c r="N18" s="76"/>
      <c r="O18" s="76"/>
      <c r="P18" s="76" t="str">
        <f t="shared" si="4"/>
        <v>,unit</v>
      </c>
      <c r="Q18" s="76" t="str">
        <f t="shared" si="0"/>
        <v>TEXT</v>
      </c>
      <c r="R18" s="76" t="str">
        <f t="shared" si="1"/>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milscm_2023_009.sny_202310_work_kensa.unit IS '単位';</v>
      </c>
    </row>
    <row r="19" spans="1:52" s="25" customFormat="1">
      <c r="A19" s="4"/>
      <c r="B19" s="21">
        <f t="shared" si="2"/>
        <v>7</v>
      </c>
      <c r="C19" s="6" t="s">
        <v>1550</v>
      </c>
      <c r="D19" s="6" t="s">
        <v>1551</v>
      </c>
      <c r="E19" s="8" t="s">
        <v>4307</v>
      </c>
      <c r="F19" s="7" t="s">
        <v>4219</v>
      </c>
      <c r="G19" s="7" t="s">
        <v>99</v>
      </c>
      <c r="H19" s="26"/>
      <c r="I19" s="10" t="s">
        <v>127</v>
      </c>
      <c r="J19" s="11"/>
      <c r="M19" s="4"/>
      <c r="N19" s="76"/>
      <c r="O19" s="76"/>
      <c r="P19" s="76" t="str">
        <f t="shared" si="4"/>
        <v>,sample_time</v>
      </c>
      <c r="Q19" s="76" t="str">
        <f t="shared" si="0"/>
        <v>DATE</v>
      </c>
      <c r="R19" s="76" t="str">
        <f t="shared" si="1"/>
        <v/>
      </c>
      <c r="S19" s="76" t="str">
        <f t="shared" si="5"/>
        <v>NOT NULL</v>
      </c>
      <c r="T19" s="76" t="str">
        <f t="shared" si="6"/>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milscm_2023_009.sny_202310_work_kensa.sample_time IS '採取日時';</v>
      </c>
    </row>
    <row r="20" spans="1:52" s="25" customFormat="1">
      <c r="A20" s="4"/>
      <c r="B20" s="21">
        <f t="shared" si="2"/>
        <v>8</v>
      </c>
      <c r="C20" s="6" t="s">
        <v>4304</v>
      </c>
      <c r="D20" s="6" t="s">
        <v>4303</v>
      </c>
      <c r="E20" s="8" t="s">
        <v>127</v>
      </c>
      <c r="F20" s="7" t="s">
        <v>4305</v>
      </c>
      <c r="G20" s="7" t="str">
        <f t="shared" ref="G20" si="7">IF(F20="フラグ","boolean",IF(F20="文字列","text",IF(F20="整数","integer",IF(F20="実数","numeric",""))))</f>
        <v>integer</v>
      </c>
      <c r="H20" s="26"/>
      <c r="I20" s="10" t="s">
        <v>127</v>
      </c>
      <c r="J20" s="11" t="s">
        <v>4306</v>
      </c>
      <c r="M20" s="4"/>
      <c r="N20" s="76"/>
      <c r="O20" s="76"/>
      <c r="P20" s="76" t="str">
        <f t="shared" si="4"/>
        <v>,row_no</v>
      </c>
      <c r="Q20" s="76" t="str">
        <f t="shared" si="0"/>
        <v>INTEGER</v>
      </c>
      <c r="R20" s="76" t="str">
        <f t="shared" si="1"/>
        <v/>
      </c>
      <c r="S20" s="76" t="str">
        <f t="shared" si="5"/>
        <v>NOT NULL</v>
      </c>
      <c r="T20" s="76" t="str">
        <f t="shared" si="6"/>
        <v>-- 行番号</v>
      </c>
      <c r="U20" s="4"/>
      <c r="AA20" s="4"/>
      <c r="AB20" s="4"/>
      <c r="AC20" s="4"/>
      <c r="AD20" s="4"/>
      <c r="AE20" s="4"/>
      <c r="AF20" s="4"/>
      <c r="AG20" s="4"/>
      <c r="AH20" s="4"/>
      <c r="AI20" s="4"/>
      <c r="AJ20" s="76" t="str">
        <f>IF(E20="○",IF(COUNTA(E$13:E20)=1,"",",")&amp;D20,"")</f>
        <v>,row_no</v>
      </c>
      <c r="AK20" s="4"/>
      <c r="AL20" s="4"/>
      <c r="AM20" s="4"/>
      <c r="AN20" s="4"/>
      <c r="AO20" s="4"/>
      <c r="AP20" s="4"/>
      <c r="AQ20" s="4"/>
      <c r="AR20" s="4"/>
      <c r="AS20" s="76" t="str">
        <f>"COMMENT ON COLUMN "&amp;エンティティ一覧!$O$2&amp;"."&amp;D$8&amp;"."&amp;D20&amp;" IS '"&amp;C20&amp;"';"</f>
        <v>COMMENT ON COLUMN milscm_2023_009.sny_202310_work_kensa.row_no IS '行番号';</v>
      </c>
    </row>
    <row r="21" spans="1:52" s="25" customFormat="1">
      <c r="A21" s="4"/>
      <c r="B21" s="21">
        <f t="shared" si="2"/>
        <v>9</v>
      </c>
      <c r="C21" s="6" t="s">
        <v>1641</v>
      </c>
      <c r="D21" s="6" t="s">
        <v>1642</v>
      </c>
      <c r="E21" s="8"/>
      <c r="F21" s="7" t="s">
        <v>1782</v>
      </c>
      <c r="G21" s="7" t="str">
        <f t="shared" si="3"/>
        <v>text</v>
      </c>
      <c r="H21" s="26"/>
      <c r="I21" s="10"/>
      <c r="J21" s="11"/>
      <c r="M21" s="4"/>
      <c r="N21" s="76"/>
      <c r="O21" s="76"/>
      <c r="P21" s="76" t="str">
        <f t="shared" si="4"/>
        <v>,value</v>
      </c>
      <c r="Q21" s="76" t="str">
        <f t="shared" si="0"/>
        <v>TEXT</v>
      </c>
      <c r="R21" s="76" t="str">
        <f t="shared" si="1"/>
        <v/>
      </c>
      <c r="S21" s="76" t="str">
        <f t="shared" si="5"/>
        <v/>
      </c>
      <c r="T21" s="76" t="str">
        <f t="shared" si="6"/>
        <v>-- 検査結果値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milscm_2023_009.sny_202310_work_kensa.value IS '検査結果値';</v>
      </c>
    </row>
    <row r="22" spans="1:52" s="25" customFormat="1" ht="19.5" thickBot="1">
      <c r="A22" s="4"/>
      <c r="B22" s="27">
        <f>ROW()-12</f>
        <v>10</v>
      </c>
      <c r="C22" s="57" t="s">
        <v>1643</v>
      </c>
      <c r="D22" s="57" t="s">
        <v>1644</v>
      </c>
      <c r="E22" s="56"/>
      <c r="F22" s="56" t="s">
        <v>1782</v>
      </c>
      <c r="G22" s="56" t="str">
        <f t="shared" si="3"/>
        <v>text</v>
      </c>
      <c r="H22" s="59"/>
      <c r="I22" s="60"/>
      <c r="J22" s="64"/>
      <c r="N22" s="76"/>
      <c r="O22" s="76"/>
      <c r="P22" s="76" t="str">
        <f t="shared" si="4"/>
        <v>,num_value</v>
      </c>
      <c r="Q22" s="76" t="str">
        <f t="shared" si="0"/>
        <v>TEXT</v>
      </c>
      <c r="R22" s="76" t="str">
        <f t="shared" si="1"/>
        <v/>
      </c>
      <c r="S22" s="76" t="str">
        <f t="shared" si="5"/>
        <v/>
      </c>
      <c r="T22" s="76" t="str">
        <f t="shared" si="6"/>
        <v>-- 数値結果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milscm_2023_009.sny_202310_work_kensa.num_value IS '数値結果';</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election activeCell="D14" sqref="D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ENT_41_14</v>
      </c>
      <c r="E6" s="240"/>
      <c r="F6" s="240"/>
      <c r="G6" s="240"/>
      <c r="H6" s="240"/>
      <c r="I6" s="240"/>
      <c r="J6" s="241"/>
    </row>
    <row r="7" spans="1:45">
      <c r="B7" s="229" t="s">
        <v>115</v>
      </c>
      <c r="C7" s="230"/>
      <c r="D7" s="231" t="s">
        <v>4263</v>
      </c>
      <c r="E7" s="232"/>
      <c r="F7" s="232"/>
      <c r="G7" s="232"/>
      <c r="H7" s="232"/>
      <c r="I7" s="232"/>
      <c r="J7" s="233"/>
    </row>
    <row r="8" spans="1:45">
      <c r="B8" s="229" t="s">
        <v>116</v>
      </c>
      <c r="C8" s="230"/>
      <c r="D8" s="231" t="str">
        <f>エンティティ一覧!AE2&amp;"_"&amp;D5&amp;"_height_weight_dpc"</f>
        <v>sny_202310_work_height_weight_dpc</v>
      </c>
      <c r="E8" s="232"/>
      <c r="F8" s="232"/>
      <c r="G8" s="232"/>
      <c r="H8" s="232"/>
      <c r="I8" s="232"/>
      <c r="J8" s="233"/>
    </row>
    <row r="9" spans="1:45" ht="19.5" customHeight="1" thickBot="1">
      <c r="B9" s="234" t="s">
        <v>117</v>
      </c>
      <c r="C9" s="235"/>
      <c r="D9" s="236" t="s">
        <v>4264</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milscm_2023_009.sny_202310_work_height_weight_dpc;</v>
      </c>
      <c r="O10" s="76"/>
      <c r="P10" s="76"/>
      <c r="Q10" s="76"/>
      <c r="R10" s="76"/>
      <c r="S10" s="76"/>
      <c r="T10" s="76"/>
      <c r="AJ10" s="76" t="str">
        <f>"ALTER TABLE ONLY "&amp;エンティティ一覧!$O$2&amp;"."&amp;D$8</f>
        <v>ALTER TABLE ONLY milscm_2023_009.sny_202310_work_height_weight_dpc</v>
      </c>
      <c r="AS10" s="76" t="str">
        <f>"ALTER TABLE "&amp;エンティティ一覧!$O$2&amp;"."&amp;D$8&amp;" OWNER TO pgmisgrp1;"</f>
        <v>ALTER TABLE milscm_2023_009.sny_202310_work_height_weight_dpc OWNER TO pgmisgrp1;</v>
      </c>
    </row>
    <row r="11" spans="1:45" ht="19.5" thickBot="1">
      <c r="B11" s="20" t="s">
        <v>118</v>
      </c>
      <c r="C11" s="19"/>
      <c r="D11" s="5"/>
      <c r="E11" s="5"/>
      <c r="F11" s="5"/>
      <c r="G11" s="5"/>
      <c r="H11" s="5"/>
      <c r="I11" s="5"/>
      <c r="J11" s="18"/>
      <c r="N11" s="76" t="str">
        <f>"CREATE TABLE  "&amp;エンティティ一覧!$O$2&amp;"."&amp;D$8</f>
        <v>CREATE TABLE  milscm_2023_009.sny_202310_work_height_weight_dpc</v>
      </c>
      <c r="O11" s="76"/>
      <c r="P11" s="76"/>
      <c r="Q11" s="76"/>
      <c r="R11" s="76"/>
      <c r="S11" s="76"/>
      <c r="T11" s="76"/>
      <c r="AJ11" s="76" t="str">
        <f>"ADD CONSTRAINT "&amp;D$8&amp;"_pkey PRIMARY KEY"</f>
        <v>ADD CONSTRAINT sny_202310_work_height_weight_dpc_pkey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milscm_2023_009.sny_202310_work_height_weight_dpc IS 'ワーク_身長体重データ_DPC';</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7" si="0">UPPER(G13)</f>
        <v>TEXT</v>
      </c>
      <c r="R13" s="76" t="str">
        <f t="shared" ref="R13:R17"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milscm_2023_009.sny_202310_work_height_weight_dpc.mask_id IS 'マスクID';</v>
      </c>
    </row>
    <row r="14" spans="1:45" s="25" customFormat="1">
      <c r="A14" s="4"/>
      <c r="B14" s="21">
        <f t="shared" ref="B14:B16" si="2">ROW()-12</f>
        <v>2</v>
      </c>
      <c r="C14" s="6" t="s">
        <v>267</v>
      </c>
      <c r="D14" s="6" t="s">
        <v>886</v>
      </c>
      <c r="E14" s="8" t="s">
        <v>127</v>
      </c>
      <c r="F14" s="7" t="s">
        <v>201</v>
      </c>
      <c r="G14" s="7" t="str">
        <f t="shared" ref="G14:G17" si="3">IF(F14="フラグ","boolean",IF(F14="文字列","text",IF(F14="整数","integer",IF(F14="実数","numeric",""))))</f>
        <v>text</v>
      </c>
      <c r="H14" s="26"/>
      <c r="I14" s="10" t="s">
        <v>127</v>
      </c>
      <c r="J14" s="11" t="s">
        <v>4265</v>
      </c>
      <c r="M14" s="4"/>
      <c r="N14" s="76"/>
      <c r="O14" s="76"/>
      <c r="P14" s="76" t="str">
        <f t="shared" ref="P14:P17" si="4">IF(B14&lt;&gt;1,","&amp;D14,D14)</f>
        <v>,nyuin_ymd</v>
      </c>
      <c r="Q14" s="76" t="str">
        <f t="shared" si="0"/>
        <v>TEXT</v>
      </c>
      <c r="R14" s="76" t="str">
        <f t="shared" si="1"/>
        <v/>
      </c>
      <c r="S14" s="76" t="str">
        <f t="shared" ref="S14:S17" si="5">IF(I14="○","NOT NULL","")</f>
        <v>NOT NULL</v>
      </c>
      <c r="T14" s="76" t="str">
        <f t="shared" ref="T14:T17" si="6">"--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milscm_2023_009.sny_202310_work_height_weight_dpc.nyuin_ymd IS '入院年月日';</v>
      </c>
    </row>
    <row r="15" spans="1:45" s="25" customFormat="1" ht="37.5">
      <c r="A15" s="4"/>
      <c r="B15" s="21">
        <f t="shared" si="2"/>
        <v>3</v>
      </c>
      <c r="C15" s="6" t="s">
        <v>1625</v>
      </c>
      <c r="D15" s="6" t="s">
        <v>1626</v>
      </c>
      <c r="E15" s="8" t="s">
        <v>127</v>
      </c>
      <c r="F15" s="7" t="s">
        <v>317</v>
      </c>
      <c r="G15" s="7" t="str">
        <f>IF(F15="フラグ","boolean",IF(F15="文字列","text",IF(F15="整数","integer",IF(F15="実数","numeric",""))))</f>
        <v>text</v>
      </c>
      <c r="H15" s="26"/>
      <c r="I15" s="10" t="s">
        <v>127</v>
      </c>
      <c r="J15" s="11" t="s">
        <v>4302</v>
      </c>
      <c r="M15" s="4"/>
      <c r="N15" s="76"/>
      <c r="O15" s="76"/>
      <c r="P15" s="76" t="str">
        <f>IF(B15&lt;&gt;1,","&amp;D15,D15)</f>
        <v>,item_name</v>
      </c>
      <c r="Q15" s="76" t="str">
        <f>UPPER(G15)</f>
        <v>TEXT</v>
      </c>
      <c r="R15" s="76" t="str">
        <f>IF(H15&lt;&gt;"","default "&amp;IF(G15="text","'"&amp;H15&amp;"'",H15),"")</f>
        <v/>
      </c>
      <c r="S15" s="76" t="str">
        <f>IF(I15="○","NOT NULL","")</f>
        <v>NOT NULL</v>
      </c>
      <c r="T15" s="76" t="str">
        <f>"-- "&amp;C15</f>
        <v>-- 項目名</v>
      </c>
      <c r="U15" s="4"/>
      <c r="AA15" s="4"/>
      <c r="AB15" s="4"/>
      <c r="AC15" s="4"/>
      <c r="AD15" s="4"/>
      <c r="AE15" s="4"/>
      <c r="AF15" s="4"/>
      <c r="AG15" s="4"/>
      <c r="AH15" s="4"/>
      <c r="AI15" s="4"/>
      <c r="AJ15" s="76" t="str">
        <f>IF(E15="○",IF(COUNTA(E$13:E15)=1,"",",")&amp;D15,"")</f>
        <v>,item_name</v>
      </c>
      <c r="AK15" s="4"/>
      <c r="AL15" s="4"/>
      <c r="AM15" s="4"/>
      <c r="AN15" s="4"/>
      <c r="AO15" s="4"/>
      <c r="AP15" s="4"/>
      <c r="AQ15" s="4"/>
      <c r="AR15" s="4"/>
      <c r="AS15" s="76" t="str">
        <f>"COMMENT ON COLUMN "&amp;エンティティ一覧!$O$2&amp;"."&amp;D$8&amp;"."&amp;D15&amp;" IS '"&amp;C15&amp;"';"</f>
        <v>COMMENT ON COLUMN milscm_2023_009.sny_202310_work_height_weight_dpc.item_name IS '項目名';</v>
      </c>
    </row>
    <row r="16" spans="1:45" s="25" customFormat="1" ht="37.5">
      <c r="A16" s="4"/>
      <c r="B16" s="21">
        <f t="shared" si="2"/>
        <v>4</v>
      </c>
      <c r="C16" s="6" t="s">
        <v>4269</v>
      </c>
      <c r="D16" s="6" t="s">
        <v>4270</v>
      </c>
      <c r="E16" s="8" t="s">
        <v>127</v>
      </c>
      <c r="F16" s="7" t="s">
        <v>204</v>
      </c>
      <c r="G16" s="7" t="str">
        <f t="shared" ref="G16" si="7">IF(F16="フラグ","boolean",IF(F16="文字列","text",IF(F16="整数","integer",IF(F16="実数","numeric",""))))</f>
        <v>integer</v>
      </c>
      <c r="H16" s="26"/>
      <c r="I16" s="10" t="s">
        <v>127</v>
      </c>
      <c r="J16" s="11" t="s">
        <v>4281</v>
      </c>
      <c r="M16" s="4"/>
      <c r="N16" s="76"/>
      <c r="O16" s="76"/>
      <c r="P16" s="76" t="str">
        <f t="shared" ref="P16" si="8">IF(B16&lt;&gt;1,","&amp;D16,D16)</f>
        <v>,dup_date_seq</v>
      </c>
      <c r="Q16" s="76" t="str">
        <f t="shared" ref="Q16" si="9">UPPER(G16)</f>
        <v>INTEGER</v>
      </c>
      <c r="R16" s="76" t="str">
        <f t="shared" ref="R16" si="10">IF(H16&lt;&gt;"","default "&amp;IF(G16="text","'"&amp;H16&amp;"'",H16),"")</f>
        <v/>
      </c>
      <c r="S16" s="76" t="str">
        <f t="shared" ref="S16" si="11">IF(I16="○","NOT NULL","")</f>
        <v>NOT NULL</v>
      </c>
      <c r="T16" s="76" t="str">
        <f t="shared" ref="T16" si="12">"-- "&amp;C16</f>
        <v>-- 日付重複SEQ</v>
      </c>
      <c r="U16" s="4"/>
      <c r="AA16" s="4"/>
      <c r="AB16" s="4"/>
      <c r="AC16" s="4"/>
      <c r="AD16" s="4"/>
      <c r="AE16" s="4"/>
      <c r="AF16" s="4"/>
      <c r="AG16" s="4"/>
      <c r="AH16" s="4"/>
      <c r="AI16" s="4"/>
      <c r="AJ16" s="76" t="str">
        <f>IF(E16="○",IF(COUNTA(E$13:E16)=1,"",",")&amp;D16,"")</f>
        <v>,dup_date_seq</v>
      </c>
      <c r="AK16" s="4"/>
      <c r="AL16" s="4"/>
      <c r="AM16" s="4"/>
      <c r="AN16" s="4"/>
      <c r="AO16" s="4"/>
      <c r="AP16" s="4"/>
      <c r="AQ16" s="4"/>
      <c r="AR16" s="4"/>
      <c r="AS16" s="76" t="str">
        <f>"COMMENT ON COLUMN "&amp;エンティティ一覧!$O$2&amp;"."&amp;D$8&amp;"."&amp;D16&amp;" IS '"&amp;C16&amp;"';"</f>
        <v>COMMENT ON COLUMN milscm_2023_009.sny_202310_work_height_weight_dpc.dup_date_seq IS '日付重複SEQ';</v>
      </c>
    </row>
    <row r="17" spans="1:52" s="25" customFormat="1" ht="19.5" thickBot="1">
      <c r="A17" s="4"/>
      <c r="B17" s="27">
        <f>ROW()-12</f>
        <v>5</v>
      </c>
      <c r="C17" s="57" t="s">
        <v>4280</v>
      </c>
      <c r="D17" s="57" t="s">
        <v>4279</v>
      </c>
      <c r="E17" s="56"/>
      <c r="F17" s="56" t="s">
        <v>201</v>
      </c>
      <c r="G17" s="56" t="str">
        <f t="shared" si="3"/>
        <v>text</v>
      </c>
      <c r="H17" s="59"/>
      <c r="I17" s="60"/>
      <c r="J17" s="64"/>
      <c r="N17" s="76"/>
      <c r="O17" s="76"/>
      <c r="P17" s="76" t="str">
        <f t="shared" si="4"/>
        <v>,item_value</v>
      </c>
      <c r="Q17" s="76" t="str">
        <f t="shared" si="0"/>
        <v>TEXT</v>
      </c>
      <c r="R17" s="76" t="str">
        <f t="shared" si="1"/>
        <v/>
      </c>
      <c r="S17" s="76" t="str">
        <f t="shared" si="5"/>
        <v/>
      </c>
      <c r="T17" s="76" t="str">
        <f t="shared" si="6"/>
        <v>-- 項目値</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milscm_2023_009.sny_202310_work_height_weight_dpc.item_value IS '項目値';</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ENT_41_15</v>
      </c>
      <c r="E6" s="240"/>
      <c r="F6" s="240"/>
      <c r="G6" s="240"/>
      <c r="H6" s="240"/>
      <c r="I6" s="240"/>
      <c r="J6" s="241"/>
    </row>
    <row r="7" spans="1:45">
      <c r="B7" s="229" t="s">
        <v>115</v>
      </c>
      <c r="C7" s="230"/>
      <c r="D7" s="231" t="s">
        <v>4266</v>
      </c>
      <c r="E7" s="232"/>
      <c r="F7" s="232"/>
      <c r="G7" s="232"/>
      <c r="H7" s="232"/>
      <c r="I7" s="232"/>
      <c r="J7" s="233"/>
    </row>
    <row r="8" spans="1:45">
      <c r="B8" s="229" t="s">
        <v>116</v>
      </c>
      <c r="C8" s="230"/>
      <c r="D8" s="231" t="str">
        <f>エンティティ一覧!AE2&amp;"_"&amp;D5&amp;"_height_weight_mml"</f>
        <v>sny_202310_work_height_weight_mml</v>
      </c>
      <c r="E8" s="232"/>
      <c r="F8" s="232"/>
      <c r="G8" s="232"/>
      <c r="H8" s="232"/>
      <c r="I8" s="232"/>
      <c r="J8" s="233"/>
    </row>
    <row r="9" spans="1:45" ht="19.5" customHeight="1" thickBot="1">
      <c r="B9" s="234" t="s">
        <v>117</v>
      </c>
      <c r="C9" s="235"/>
      <c r="D9" s="236" t="s">
        <v>4267</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milscm_2023_009.sny_202310_work_height_weight_mml;</v>
      </c>
      <c r="O10" s="76"/>
      <c r="P10" s="76"/>
      <c r="Q10" s="76"/>
      <c r="R10" s="76"/>
      <c r="S10" s="76"/>
      <c r="T10" s="76"/>
      <c r="AJ10" s="76" t="str">
        <f>"ALTER TABLE ONLY "&amp;エンティティ一覧!$O$2&amp;"."&amp;D$8</f>
        <v>ALTER TABLE ONLY milscm_2023_009.sny_202310_work_height_weight_mml</v>
      </c>
      <c r="AS10" s="76" t="str">
        <f>"ALTER TABLE "&amp;エンティティ一覧!$O$2&amp;"."&amp;D$8&amp;" OWNER TO pgmisgrp1;"</f>
        <v>ALTER TABLE milscm_2023_009.sny_202310_work_height_weight_mml OWNER TO pgmisgrp1;</v>
      </c>
    </row>
    <row r="11" spans="1:45" ht="19.5" thickBot="1">
      <c r="B11" s="20" t="s">
        <v>118</v>
      </c>
      <c r="C11" s="19"/>
      <c r="D11" s="5"/>
      <c r="E11" s="5"/>
      <c r="F11" s="5"/>
      <c r="G11" s="5"/>
      <c r="H11" s="5"/>
      <c r="I11" s="5"/>
      <c r="J11" s="18"/>
      <c r="N11" s="76" t="str">
        <f>"CREATE TABLE  "&amp;エンティティ一覧!$O$2&amp;"."&amp;D$8</f>
        <v>CREATE TABLE  milscm_2023_009.sny_202310_work_height_weight_mml</v>
      </c>
      <c r="O11" s="76"/>
      <c r="P11" s="76"/>
      <c r="Q11" s="76"/>
      <c r="R11" s="76"/>
      <c r="S11" s="76"/>
      <c r="T11" s="76"/>
      <c r="AJ11" s="76" t="str">
        <f>"ADD CONSTRAINT "&amp;D$8&amp;"_pkey PRIMARY KEY"</f>
        <v>ADD CONSTRAINT sny_202310_work_height_weight_mml_pkey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milscm_2023_009.sny_202310_work_height_weight_mml IS 'ワーク_身長体重データ_MML';</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9" si="0">UPPER(G13)</f>
        <v>TEXT</v>
      </c>
      <c r="R13" s="76" t="str">
        <f t="shared" ref="R13:R1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milscm_2023_009.sny_202310_work_height_weight_mml.mask_id IS 'マスクID';</v>
      </c>
    </row>
    <row r="14" spans="1:45" s="25" customFormat="1">
      <c r="A14" s="4"/>
      <c r="B14" s="21">
        <f t="shared" ref="B14:B18" si="2">ROW()-12</f>
        <v>2</v>
      </c>
      <c r="C14" s="6" t="s">
        <v>4272</v>
      </c>
      <c r="D14" s="6" t="s">
        <v>4268</v>
      </c>
      <c r="E14" s="8" t="s">
        <v>127</v>
      </c>
      <c r="F14" s="7" t="s">
        <v>317</v>
      </c>
      <c r="G14" s="7" t="str">
        <f t="shared" ref="G14:G19" si="3">IF(F14="フラグ","boolean",IF(F14="文字列","text",IF(F14="整数","integer",IF(F14="実数","numeric",""))))</f>
        <v>text</v>
      </c>
      <c r="H14" s="26"/>
      <c r="I14" s="10" t="s">
        <v>127</v>
      </c>
      <c r="J14" s="11" t="s">
        <v>4308</v>
      </c>
      <c r="M14" s="4"/>
      <c r="N14" s="76"/>
      <c r="O14" s="76"/>
      <c r="P14" s="76" t="str">
        <f t="shared" ref="P14:P19" si="4">IF(B14&lt;&gt;1,","&amp;D14,D14)</f>
        <v>,vital_sign_time</v>
      </c>
      <c r="Q14" s="76" t="str">
        <f t="shared" si="0"/>
        <v>TEXT</v>
      </c>
      <c r="R14" s="76" t="str">
        <f t="shared" si="1"/>
        <v/>
      </c>
      <c r="S14" s="76" t="str">
        <f t="shared" ref="S14:S19" si="5">IF(I14="○","NOT NULL","")</f>
        <v>NOT NULL</v>
      </c>
      <c r="T14" s="76" t="str">
        <f t="shared" ref="T14:T19" si="6">"-- "&amp;C14</f>
        <v>-- バイタルサインの計測時間</v>
      </c>
      <c r="U14" s="4"/>
      <c r="AA14" s="4"/>
      <c r="AB14" s="4"/>
      <c r="AC14" s="4"/>
      <c r="AD14" s="4"/>
      <c r="AE14" s="4"/>
      <c r="AF14" s="4"/>
      <c r="AG14" s="4"/>
      <c r="AH14" s="4"/>
      <c r="AI14" s="4"/>
      <c r="AJ14" s="76" t="str">
        <f>IF(E14="○",IF(COUNTA(E$13:E14)=1,"",",")&amp;D14,"")</f>
        <v>,vital_sign_time</v>
      </c>
      <c r="AK14" s="4"/>
      <c r="AL14" s="4"/>
      <c r="AM14" s="4"/>
      <c r="AN14" s="4"/>
      <c r="AO14" s="4"/>
      <c r="AP14" s="4"/>
      <c r="AQ14" s="4"/>
      <c r="AR14" s="4"/>
      <c r="AS14" s="76" t="str">
        <f>"COMMENT ON COLUMN "&amp;エンティティ一覧!$O$2&amp;"."&amp;D$8&amp;"."&amp;D14&amp;" IS '"&amp;C14&amp;"';"</f>
        <v>COMMENT ON COLUMN milscm_2023_009.sny_202310_work_height_weight_mml.vital_sign_time IS 'バイタルサインの計測時間';</v>
      </c>
    </row>
    <row r="15" spans="1:45" s="25" customFormat="1">
      <c r="A15" s="4"/>
      <c r="B15" s="21">
        <f t="shared" si="2"/>
        <v>3</v>
      </c>
      <c r="C15" s="6" t="s">
        <v>1625</v>
      </c>
      <c r="D15" s="6" t="s">
        <v>1626</v>
      </c>
      <c r="E15" s="8" t="s">
        <v>127</v>
      </c>
      <c r="F15" s="7" t="s">
        <v>317</v>
      </c>
      <c r="G15" s="7" t="str">
        <f t="shared" ref="G15:G17" si="7">IF(F15="フラグ","boolean",IF(F15="文字列","text",IF(F15="整数","integer",IF(F15="実数","numeric",""))))</f>
        <v>text</v>
      </c>
      <c r="H15" s="26"/>
      <c r="I15" s="10" t="s">
        <v>127</v>
      </c>
      <c r="J15" s="11" t="s">
        <v>4271</v>
      </c>
      <c r="M15" s="4"/>
      <c r="N15" s="76"/>
      <c r="O15" s="76"/>
      <c r="P15" s="76" t="str">
        <f t="shared" ref="P15:P17" si="8">IF(B15&lt;&gt;1,","&amp;D15,D15)</f>
        <v>,item_name</v>
      </c>
      <c r="Q15" s="76" t="str">
        <f t="shared" ref="Q15:Q17" si="9">UPPER(G15)</f>
        <v>TEXT</v>
      </c>
      <c r="R15" s="76" t="str">
        <f t="shared" ref="R15:R17" si="10">IF(H15&lt;&gt;"","default "&amp;IF(G15="text","'"&amp;H15&amp;"'",H15),"")</f>
        <v/>
      </c>
      <c r="S15" s="76" t="str">
        <f t="shared" ref="S15:S17" si="11">IF(I15="○","NOT NULL","")</f>
        <v>NOT NULL</v>
      </c>
      <c r="T15" s="76" t="str">
        <f t="shared" ref="T15:T17" si="12">"-- "&amp;C15</f>
        <v>-- 項目名</v>
      </c>
      <c r="U15" s="4"/>
      <c r="AA15" s="4"/>
      <c r="AB15" s="4"/>
      <c r="AC15" s="4"/>
      <c r="AD15" s="4"/>
      <c r="AE15" s="4"/>
      <c r="AF15" s="4"/>
      <c r="AG15" s="4"/>
      <c r="AH15" s="4"/>
      <c r="AI15" s="4"/>
      <c r="AJ15" s="76" t="str">
        <f>IF(E15="○",IF(COUNTA(E$13:E15)=1,"",",")&amp;D15,"")</f>
        <v>,item_name</v>
      </c>
      <c r="AK15" s="4"/>
      <c r="AL15" s="4"/>
      <c r="AM15" s="4"/>
      <c r="AN15" s="4"/>
      <c r="AO15" s="4"/>
      <c r="AP15" s="4"/>
      <c r="AQ15" s="4"/>
      <c r="AR15" s="4"/>
      <c r="AS15" s="76" t="str">
        <f>"COMMENT ON COLUMN "&amp;エンティティ一覧!$O$2&amp;"."&amp;D$8&amp;"."&amp;D15&amp;" IS '"&amp;C15&amp;"';"</f>
        <v>COMMENT ON COLUMN milscm_2023_009.sny_202310_work_height_weight_mml.item_name IS '項目名';</v>
      </c>
    </row>
    <row r="16" spans="1:45" s="25" customFormat="1" ht="56.25">
      <c r="A16" s="4"/>
      <c r="B16" s="21">
        <f t="shared" si="2"/>
        <v>4</v>
      </c>
      <c r="C16" s="6" t="s">
        <v>4269</v>
      </c>
      <c r="D16" s="6" t="s">
        <v>4270</v>
      </c>
      <c r="E16" s="8" t="s">
        <v>127</v>
      </c>
      <c r="F16" s="7" t="s">
        <v>204</v>
      </c>
      <c r="G16" s="7" t="str">
        <f t="shared" ref="G16" si="13">IF(F16="フラグ","boolean",IF(F16="文字列","text",IF(F16="整数","integer",IF(F16="実数","numeric",""))))</f>
        <v>integer</v>
      </c>
      <c r="H16" s="26"/>
      <c r="I16" s="10" t="s">
        <v>127</v>
      </c>
      <c r="J16" s="11" t="s">
        <v>4273</v>
      </c>
      <c r="M16" s="4"/>
      <c r="N16" s="76"/>
      <c r="O16" s="76"/>
      <c r="P16" s="76" t="str">
        <f t="shared" ref="P16" si="14">IF(B16&lt;&gt;1,","&amp;D16,D16)</f>
        <v>,dup_date_seq</v>
      </c>
      <c r="Q16" s="76" t="str">
        <f t="shared" ref="Q16" si="15">UPPER(G16)</f>
        <v>INTEGER</v>
      </c>
      <c r="R16" s="76" t="str">
        <f t="shared" ref="R16" si="16">IF(H16&lt;&gt;"","default "&amp;IF(G16="text","'"&amp;H16&amp;"'",H16),"")</f>
        <v/>
      </c>
      <c r="S16" s="76" t="str">
        <f t="shared" ref="S16" si="17">IF(I16="○","NOT NULL","")</f>
        <v>NOT NULL</v>
      </c>
      <c r="T16" s="76" t="str">
        <f t="shared" ref="T16" si="18">"-- "&amp;C16</f>
        <v>-- 日付重複SEQ</v>
      </c>
      <c r="U16" s="4"/>
      <c r="AA16" s="4"/>
      <c r="AB16" s="4"/>
      <c r="AC16" s="4"/>
      <c r="AD16" s="4"/>
      <c r="AE16" s="4"/>
      <c r="AF16" s="4"/>
      <c r="AG16" s="4"/>
      <c r="AH16" s="4"/>
      <c r="AI16" s="4"/>
      <c r="AJ16" s="76" t="str">
        <f>IF(E16="○",IF(COUNTA(E$13:E16)=1,"",",")&amp;D16,"")</f>
        <v>,dup_date_seq</v>
      </c>
      <c r="AK16" s="4"/>
      <c r="AL16" s="4"/>
      <c r="AM16" s="4"/>
      <c r="AN16" s="4"/>
      <c r="AO16" s="4"/>
      <c r="AP16" s="4"/>
      <c r="AQ16" s="4"/>
      <c r="AR16" s="4"/>
      <c r="AS16" s="76" t="str">
        <f>"COMMENT ON COLUMN "&amp;エンティティ一覧!$O$2&amp;"."&amp;D$8&amp;"."&amp;D16&amp;" IS '"&amp;C16&amp;"';"</f>
        <v>COMMENT ON COLUMN milscm_2023_009.sny_202310_work_height_weight_mml.dup_date_seq IS '日付重複SEQ';</v>
      </c>
    </row>
    <row r="17" spans="1:52" s="25" customFormat="1" ht="31.5">
      <c r="A17" s="4"/>
      <c r="B17" s="21">
        <f t="shared" si="2"/>
        <v>5</v>
      </c>
      <c r="C17" s="6" t="s">
        <v>1720</v>
      </c>
      <c r="D17" s="6" t="s">
        <v>1721</v>
      </c>
      <c r="E17" s="8"/>
      <c r="F17" s="7" t="s">
        <v>317</v>
      </c>
      <c r="G17" s="7" t="str">
        <f t="shared" si="7"/>
        <v>text</v>
      </c>
      <c r="H17" s="26"/>
      <c r="I17" s="10"/>
      <c r="J17" s="11"/>
      <c r="M17" s="4"/>
      <c r="N17" s="76"/>
      <c r="O17" s="76"/>
      <c r="P17" s="76" t="str">
        <f t="shared" si="8"/>
        <v>,vital_sign_value</v>
      </c>
      <c r="Q17" s="76" t="str">
        <f t="shared" si="9"/>
        <v>TEXT</v>
      </c>
      <c r="R17" s="76" t="str">
        <f t="shared" si="10"/>
        <v/>
      </c>
      <c r="S17" s="76" t="str">
        <f t="shared" si="11"/>
        <v/>
      </c>
      <c r="T17" s="76" t="str">
        <f t="shared" si="12"/>
        <v>-- 文字列で表記されるバイタルサインの値</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milscm_2023_009.sny_202310_work_height_weight_mml.vital_sign_value IS '文字列で表記されるバイタルサインの値';</v>
      </c>
    </row>
    <row r="18" spans="1:52" s="25" customFormat="1">
      <c r="A18" s="4"/>
      <c r="B18" s="21">
        <f t="shared" si="2"/>
        <v>6</v>
      </c>
      <c r="C18" s="6" t="s">
        <v>1722</v>
      </c>
      <c r="D18" s="6" t="s">
        <v>1723</v>
      </c>
      <c r="E18" s="8"/>
      <c r="F18" s="7" t="s">
        <v>317</v>
      </c>
      <c r="G18" s="7" t="str">
        <f t="shared" si="3"/>
        <v>text</v>
      </c>
      <c r="H18" s="26"/>
      <c r="I18" s="10"/>
      <c r="J18" s="11"/>
      <c r="M18" s="4"/>
      <c r="N18" s="76"/>
      <c r="O18" s="76"/>
      <c r="P18" s="76" t="str">
        <f t="shared" si="4"/>
        <v>,vital_sign_num_value</v>
      </c>
      <c r="Q18" s="76" t="str">
        <f t="shared" si="0"/>
        <v>TEXT</v>
      </c>
      <c r="R18" s="76" t="str">
        <f t="shared" si="1"/>
        <v/>
      </c>
      <c r="S18" s="76" t="str">
        <f t="shared" si="5"/>
        <v/>
      </c>
      <c r="T18" s="76" t="str">
        <f t="shared" si="6"/>
        <v>-- 数値で表記されるバイタルサインの値</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milscm_2023_009.sny_202310_work_height_weight_mml.vital_sign_num_value IS '数値で表記されるバイタルサインの値';</v>
      </c>
    </row>
    <row r="19" spans="1:52" s="25" customFormat="1" ht="19.5" thickBot="1">
      <c r="A19" s="4"/>
      <c r="B19" s="27">
        <f>ROW()-12</f>
        <v>7</v>
      </c>
      <c r="C19" s="57" t="s">
        <v>1724</v>
      </c>
      <c r="D19" s="57" t="s">
        <v>1725</v>
      </c>
      <c r="E19" s="56"/>
      <c r="F19" s="56" t="s">
        <v>317</v>
      </c>
      <c r="G19" s="56" t="str">
        <f t="shared" si="3"/>
        <v>text</v>
      </c>
      <c r="H19" s="59"/>
      <c r="I19" s="60"/>
      <c r="J19" s="64"/>
      <c r="N19" s="76"/>
      <c r="O19" s="76"/>
      <c r="P19" s="76" t="str">
        <f t="shared" si="4"/>
        <v>,vital_sign_unit</v>
      </c>
      <c r="Q19" s="76" t="str">
        <f t="shared" si="0"/>
        <v>TEXT</v>
      </c>
      <c r="R19" s="76" t="str">
        <f t="shared" si="1"/>
        <v/>
      </c>
      <c r="S19" s="76" t="str">
        <f t="shared" si="5"/>
        <v/>
      </c>
      <c r="T19" s="76" t="str">
        <f t="shared" si="6"/>
        <v>-- バイタルサインの単位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milscm_2023_009.sny_202310_work_height_weight_mml.vital_sign_unit IS 'バイタルサインの単位';</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ENT_41_16</v>
      </c>
      <c r="E6" s="240"/>
      <c r="F6" s="240"/>
      <c r="G6" s="240"/>
      <c r="H6" s="240"/>
      <c r="I6" s="240"/>
      <c r="J6" s="241"/>
    </row>
    <row r="7" spans="1:45">
      <c r="B7" s="229" t="s">
        <v>115</v>
      </c>
      <c r="C7" s="230"/>
      <c r="D7" s="231" t="s">
        <v>4274</v>
      </c>
      <c r="E7" s="232"/>
      <c r="F7" s="232"/>
      <c r="G7" s="232"/>
      <c r="H7" s="232"/>
      <c r="I7" s="232"/>
      <c r="J7" s="233"/>
    </row>
    <row r="8" spans="1:45">
      <c r="B8" s="229" t="s">
        <v>116</v>
      </c>
      <c r="C8" s="230"/>
      <c r="D8" s="231" t="str">
        <f>エンティティ一覧!AE2&amp;"_"&amp;D5&amp;"_height_weight"</f>
        <v>sny_202310_work_height_weight</v>
      </c>
      <c r="E8" s="232"/>
      <c r="F8" s="232"/>
      <c r="G8" s="232"/>
      <c r="H8" s="232"/>
      <c r="I8" s="232"/>
      <c r="J8" s="233"/>
    </row>
    <row r="9" spans="1:45" ht="19.5" customHeight="1" thickBot="1">
      <c r="B9" s="234" t="s">
        <v>117</v>
      </c>
      <c r="C9" s="235"/>
      <c r="D9" s="236" t="s">
        <v>4275</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milscm_2023_009.sny_202310_work_height_weight;</v>
      </c>
      <c r="O10" s="76"/>
      <c r="P10" s="76"/>
      <c r="Q10" s="76"/>
      <c r="R10" s="76"/>
      <c r="S10" s="76"/>
      <c r="T10" s="76"/>
      <c r="AJ10" s="76" t="str">
        <f>"ALTER TABLE ONLY "&amp;エンティティ一覧!$O$2&amp;"."&amp;D$8</f>
        <v>ALTER TABLE ONLY milscm_2023_009.sny_202310_work_height_weight</v>
      </c>
      <c r="AS10" s="76" t="str">
        <f>"ALTER TABLE "&amp;エンティティ一覧!$O$2&amp;"."&amp;D$8&amp;" OWNER TO pgmisgrp1;"</f>
        <v>ALTER TABLE milscm_2023_009.sny_202310_work_height_weight OWNER TO pgmisgrp1;</v>
      </c>
    </row>
    <row r="11" spans="1:45" ht="19.5" thickBot="1">
      <c r="B11" s="20" t="s">
        <v>118</v>
      </c>
      <c r="C11" s="19"/>
      <c r="D11" s="5"/>
      <c r="E11" s="5"/>
      <c r="F11" s="5"/>
      <c r="G11" s="5"/>
      <c r="H11" s="5"/>
      <c r="I11" s="5"/>
      <c r="J11" s="18"/>
      <c r="N11" s="76" t="str">
        <f>"CREATE TABLE  "&amp;エンティティ一覧!$O$2&amp;"."&amp;D$8</f>
        <v>CREATE TABLE  milscm_2023_009.sny_202310_work_height_weight</v>
      </c>
      <c r="O11" s="76"/>
      <c r="P11" s="76"/>
      <c r="Q11" s="76"/>
      <c r="R11" s="76"/>
      <c r="S11" s="76"/>
      <c r="T11" s="76"/>
      <c r="AJ11" s="76" t="str">
        <f>"ADD CONSTRAINT "&amp;D$8&amp;"_pkey PRIMARY KEY"</f>
        <v>ADD CONSTRAINT sny_202310_work_height_weight_pkey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 IS 'ワーク_身長体重データ';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milscm_2023_009.sny_202310_work_height_weight.mask_id IS 'マスクID';</v>
      </c>
    </row>
    <row r="14" spans="1:45" s="25" customFormat="1">
      <c r="A14" s="4"/>
      <c r="B14" s="21">
        <f t="shared" ref="B14:B17" si="2">ROW()-12</f>
        <v>2</v>
      </c>
      <c r="C14" s="6" t="s">
        <v>1822</v>
      </c>
      <c r="D14" s="6" t="s">
        <v>208</v>
      </c>
      <c r="E14" s="8" t="s">
        <v>127</v>
      </c>
      <c r="F14" s="7" t="s">
        <v>1823</v>
      </c>
      <c r="G14" s="7" t="str">
        <f t="shared" ref="G14" si="3">IF(F14="フラグ","boolean",IF(F14="文字列","text",IF(F14="整数","integer",IF(F14="実数","numeric",""))))</f>
        <v>text</v>
      </c>
      <c r="H14" s="26"/>
      <c r="I14" s="10" t="s">
        <v>127</v>
      </c>
      <c r="J14" s="11" t="s">
        <v>4276</v>
      </c>
      <c r="M14" s="4"/>
      <c r="N14" s="76"/>
      <c r="O14" s="76"/>
      <c r="P14" s="76" t="str">
        <f t="shared" ref="P14" si="4">IF(B14&lt;&gt;1,","&amp;D14,D14)</f>
        <v>,data_type</v>
      </c>
      <c r="Q14" s="76" t="str">
        <f t="shared" ref="Q14" si="5">UPPER(G14)</f>
        <v>TEXT</v>
      </c>
      <c r="R14" s="76" t="str">
        <f t="shared" ref="R14" si="6">IF(H14&lt;&gt;"","default "&amp;IF(G14="text","'"&amp;H14&amp;"'",H14),"")</f>
        <v/>
      </c>
      <c r="S14" s="76" t="str">
        <f t="shared" ref="S14" si="7">IF(I14="○","NOT NULL","")</f>
        <v>NOT NULL</v>
      </c>
      <c r="T14" s="76" t="str">
        <f t="shared" ref="T14" si="8">"--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milscm_2023_009.sny_202310_work_height_weight.data_type IS 'データ種別';</v>
      </c>
    </row>
    <row r="15" spans="1:45" s="25" customFormat="1">
      <c r="A15" s="4"/>
      <c r="B15" s="21">
        <f t="shared" si="2"/>
        <v>3</v>
      </c>
      <c r="C15" s="6" t="s">
        <v>4277</v>
      </c>
      <c r="D15" s="6" t="s">
        <v>4278</v>
      </c>
      <c r="E15" s="8" t="s">
        <v>127</v>
      </c>
      <c r="F15" s="7" t="s">
        <v>317</v>
      </c>
      <c r="G15" s="7" t="str">
        <f t="shared" ref="G15:G18" si="9">IF(F15="フラグ","boolean",IF(F15="文字列","text",IF(F15="整数","integer",IF(F15="実数","numeric",""))))</f>
        <v>text</v>
      </c>
      <c r="H15" s="26"/>
      <c r="I15" s="10" t="s">
        <v>127</v>
      </c>
      <c r="J15" s="11" t="s">
        <v>4265</v>
      </c>
      <c r="M15" s="4"/>
      <c r="N15" s="76"/>
      <c r="O15" s="76"/>
      <c r="P15" s="76" t="str">
        <f t="shared" ref="P15:P18" si="10">IF(B15&lt;&gt;1,","&amp;D15,D15)</f>
        <v>,measurement_date</v>
      </c>
      <c r="Q15" s="76" t="str">
        <f t="shared" si="0"/>
        <v>TEXT</v>
      </c>
      <c r="R15" s="76" t="str">
        <f t="shared" si="1"/>
        <v/>
      </c>
      <c r="S15" s="76" t="str">
        <f t="shared" ref="S15:S18" si="11">IF(I15="○","NOT NULL","")</f>
        <v>NOT NULL</v>
      </c>
      <c r="T15" s="76" t="str">
        <f t="shared" ref="T15:T18" si="12">"-- "&amp;C15</f>
        <v>-- 計測日</v>
      </c>
      <c r="U15" s="4"/>
      <c r="AA15" s="4"/>
      <c r="AB15" s="4"/>
      <c r="AC15" s="4"/>
      <c r="AD15" s="4"/>
      <c r="AE15" s="4"/>
      <c r="AF15" s="4"/>
      <c r="AG15" s="4"/>
      <c r="AH15" s="4"/>
      <c r="AI15" s="4"/>
      <c r="AJ15" s="76" t="str">
        <f>IF(E15="○",IF(COUNTA(E$13:E15)=1,"",",")&amp;D15,"")</f>
        <v>,measurement_date</v>
      </c>
      <c r="AK15" s="4"/>
      <c r="AL15" s="4"/>
      <c r="AM15" s="4"/>
      <c r="AN15" s="4"/>
      <c r="AO15" s="4"/>
      <c r="AP15" s="4"/>
      <c r="AQ15" s="4"/>
      <c r="AR15" s="4"/>
      <c r="AS15" s="76" t="str">
        <f>"COMMENT ON COLUMN "&amp;エンティティ一覧!$O$2&amp;"."&amp;D$8&amp;"."&amp;D15&amp;" IS '"&amp;C15&amp;"';"</f>
        <v>COMMENT ON COLUMN milscm_2023_009.sny_202310_work_height_weight.measurement_date IS '計測日';</v>
      </c>
    </row>
    <row r="16" spans="1:45" s="25" customFormat="1">
      <c r="A16" s="4"/>
      <c r="B16" s="21">
        <f t="shared" si="2"/>
        <v>4</v>
      </c>
      <c r="C16" s="6" t="s">
        <v>1625</v>
      </c>
      <c r="D16" s="6" t="s">
        <v>1626</v>
      </c>
      <c r="E16" s="8" t="s">
        <v>127</v>
      </c>
      <c r="F16" s="7" t="s">
        <v>317</v>
      </c>
      <c r="G16" s="7" t="str">
        <f t="shared" si="9"/>
        <v>text</v>
      </c>
      <c r="H16" s="26"/>
      <c r="I16" s="10" t="s">
        <v>127</v>
      </c>
      <c r="J16" s="11" t="s">
        <v>4271</v>
      </c>
      <c r="M16" s="4"/>
      <c r="N16" s="76"/>
      <c r="O16" s="76"/>
      <c r="P16" s="76" t="str">
        <f t="shared" si="10"/>
        <v>,item_name</v>
      </c>
      <c r="Q16" s="76" t="str">
        <f t="shared" si="0"/>
        <v>TEXT</v>
      </c>
      <c r="R16" s="76" t="str">
        <f t="shared" si="1"/>
        <v/>
      </c>
      <c r="S16" s="76" t="str">
        <f t="shared" si="11"/>
        <v>NOT NULL</v>
      </c>
      <c r="T16" s="76" t="str">
        <f t="shared" si="12"/>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milscm_2023_009.sny_202310_work_height_weight.item_name IS '項目名';</v>
      </c>
    </row>
    <row r="17" spans="1:52" s="25" customFormat="1">
      <c r="A17" s="4"/>
      <c r="B17" s="21">
        <f t="shared" si="2"/>
        <v>5</v>
      </c>
      <c r="C17" s="6" t="s">
        <v>4269</v>
      </c>
      <c r="D17" s="6" t="s">
        <v>4270</v>
      </c>
      <c r="E17" s="8" t="s">
        <v>127</v>
      </c>
      <c r="F17" s="7" t="s">
        <v>204</v>
      </c>
      <c r="G17" s="7" t="str">
        <f t="shared" si="9"/>
        <v>integer</v>
      </c>
      <c r="H17" s="26"/>
      <c r="I17" s="10" t="s">
        <v>127</v>
      </c>
      <c r="J17" s="11"/>
      <c r="M17" s="4"/>
      <c r="N17" s="76"/>
      <c r="O17" s="76"/>
      <c r="P17" s="76" t="str">
        <f t="shared" si="10"/>
        <v>,dup_date_seq</v>
      </c>
      <c r="Q17" s="76" t="str">
        <f t="shared" si="0"/>
        <v>INTEGER</v>
      </c>
      <c r="R17" s="76" t="str">
        <f t="shared" si="1"/>
        <v/>
      </c>
      <c r="S17" s="76" t="str">
        <f t="shared" si="11"/>
        <v>NOT NULL</v>
      </c>
      <c r="T17" s="76" t="str">
        <f t="shared" si="12"/>
        <v>-- 日付重複SEQ</v>
      </c>
      <c r="U17" s="4"/>
      <c r="AA17" s="4"/>
      <c r="AB17" s="4"/>
      <c r="AC17" s="4"/>
      <c r="AD17" s="4"/>
      <c r="AE17" s="4"/>
      <c r="AF17" s="4"/>
      <c r="AG17" s="4"/>
      <c r="AH17" s="4"/>
      <c r="AI17" s="4"/>
      <c r="AJ17" s="76" t="str">
        <f>IF(E17="○",IF(COUNTA(E$13:E17)=1,"",",")&amp;D17,"")</f>
        <v>,dup_date_seq</v>
      </c>
      <c r="AK17" s="4"/>
      <c r="AL17" s="4"/>
      <c r="AM17" s="4"/>
      <c r="AN17" s="4"/>
      <c r="AO17" s="4"/>
      <c r="AP17" s="4"/>
      <c r="AQ17" s="4"/>
      <c r="AR17" s="4"/>
      <c r="AS17" s="76" t="str">
        <f>"COMMENT ON COLUMN "&amp;エンティティ一覧!$O$2&amp;"."&amp;D$8&amp;"."&amp;D17&amp;" IS '"&amp;C17&amp;"';"</f>
        <v>COMMENT ON COLUMN milscm_2023_009.sny_202310_work_height_weight.dup_date_seq IS '日付重複SEQ';</v>
      </c>
    </row>
    <row r="18" spans="1:52" s="25" customFormat="1" ht="19.5" thickBot="1">
      <c r="A18" s="4"/>
      <c r="B18" s="27">
        <f>ROW()-12</f>
        <v>6</v>
      </c>
      <c r="C18" s="57" t="s">
        <v>4280</v>
      </c>
      <c r="D18" s="57" t="s">
        <v>4279</v>
      </c>
      <c r="E18" s="56"/>
      <c r="F18" s="56" t="s">
        <v>317</v>
      </c>
      <c r="G18" s="56" t="str">
        <f t="shared" si="9"/>
        <v>text</v>
      </c>
      <c r="H18" s="59"/>
      <c r="I18" s="60"/>
      <c r="J18" s="64" t="s">
        <v>4282</v>
      </c>
      <c r="N18" s="76"/>
      <c r="O18" s="76"/>
      <c r="P18" s="76" t="str">
        <f t="shared" si="10"/>
        <v>,item_value</v>
      </c>
      <c r="Q18" s="76" t="str">
        <f t="shared" si="0"/>
        <v>TEXT</v>
      </c>
      <c r="R18" s="76" t="str">
        <f t="shared" si="1"/>
        <v/>
      </c>
      <c r="S18" s="76" t="str">
        <f t="shared" si="11"/>
        <v/>
      </c>
      <c r="T18" s="76" t="str">
        <f t="shared" si="12"/>
        <v>-- 項目値</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milscm_2023_009.sny_202310_work_height_weight.item_value IS '項目値';</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election activeCell="D28" sqref="D2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ENT_41_17</v>
      </c>
      <c r="E6" s="240"/>
      <c r="F6" s="240"/>
      <c r="G6" s="240"/>
      <c r="H6" s="240"/>
      <c r="I6" s="240"/>
      <c r="J6" s="241"/>
    </row>
    <row r="7" spans="1:45">
      <c r="B7" s="229" t="s">
        <v>115</v>
      </c>
      <c r="C7" s="230"/>
      <c r="D7" s="231" t="s">
        <v>4225</v>
      </c>
      <c r="E7" s="232"/>
      <c r="F7" s="232"/>
      <c r="G7" s="232"/>
      <c r="H7" s="232"/>
      <c r="I7" s="232"/>
      <c r="J7" s="233"/>
    </row>
    <row r="8" spans="1:45">
      <c r="B8" s="229" t="s">
        <v>116</v>
      </c>
      <c r="C8" s="230"/>
      <c r="D8" s="231" t="str">
        <f>エンティティ一覧!AE2&amp;"_"&amp;D5&amp;"_text_temp"</f>
        <v>sny_202310_work_text_temp</v>
      </c>
      <c r="E8" s="232"/>
      <c r="F8" s="232"/>
      <c r="G8" s="232"/>
      <c r="H8" s="232"/>
      <c r="I8" s="232"/>
      <c r="J8" s="233"/>
    </row>
    <row r="9" spans="1:45" ht="19.5" customHeight="1" thickBot="1">
      <c r="B9" s="234" t="s">
        <v>117</v>
      </c>
      <c r="C9" s="235"/>
      <c r="D9" s="236" t="s">
        <v>4226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milscm_2023_009.sny_202310_work_text_temp;</v>
      </c>
      <c r="O10" s="76"/>
      <c r="P10" s="76"/>
      <c r="Q10" s="76"/>
      <c r="R10" s="76"/>
      <c r="S10" s="76"/>
      <c r="T10" s="76"/>
      <c r="AJ10" s="76" t="str">
        <f>"ALTER TABLE ONLY "&amp;エンティティ一覧!$O$2&amp;"."&amp;D$8</f>
        <v>ALTER TABLE ONLY milscm_2023_009.sny_202310_work_text_temp</v>
      </c>
      <c r="AS10" s="76" t="str">
        <f>"ALTER TABLE "&amp;エンティティ一覧!$O$2&amp;"."&amp;D$8&amp;" OWNER TO pgmisgrp1;"</f>
        <v>ALTER TABLE milscm_2023_009.sny_202310_work_text_temp OWNER TO pgmisgrp1;</v>
      </c>
    </row>
    <row r="11" spans="1:45" ht="19.5" thickBot="1">
      <c r="B11" s="20" t="s">
        <v>118</v>
      </c>
      <c r="C11" s="19"/>
      <c r="D11" s="5"/>
      <c r="E11" s="5"/>
      <c r="F11" s="5"/>
      <c r="G11" s="5"/>
      <c r="H11" s="5"/>
      <c r="I11" s="5"/>
      <c r="J11" s="18"/>
      <c r="N11" s="76" t="str">
        <f>"CREATE TABLE  "&amp;エンティティ一覧!$O$2&amp;"."&amp;D$8</f>
        <v>CREATE TABLE  milscm_2023_009.sny_202310_work_text_temp</v>
      </c>
      <c r="O11" s="76"/>
      <c r="P11" s="76"/>
      <c r="Q11" s="76"/>
      <c r="R11" s="76"/>
      <c r="S11" s="76"/>
      <c r="T11" s="76"/>
      <c r="AJ11" s="76" t="str">
        <f>"ADD CONSTRAINT "&amp;D$8&amp;"_pkey PRIMARY KEY"</f>
        <v>ADD CONSTRAINT sny_202310_work_text_temp_pkey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milscm_2023_009.sny_202310_work_text_temp IS 'ワーク_テキスト情報_一時';</v>
      </c>
    </row>
    <row r="13" spans="1:45" s="25" customFormat="1">
      <c r="A13" s="4"/>
      <c r="B13" s="21">
        <f>ROW()-12</f>
        <v>1</v>
      </c>
      <c r="C13" s="6" t="s">
        <v>137</v>
      </c>
      <c r="D13" s="6" t="s">
        <v>128</v>
      </c>
      <c r="E13" s="8" t="s">
        <v>127</v>
      </c>
      <c r="F13" s="8" t="s">
        <v>4227</v>
      </c>
      <c r="G13" s="7" t="str">
        <f>IF(F13="フラグ","boolean",IF(F13="文字列","text",IF(F13="整数","integer",IF(F13="実数","numeric",""))))</f>
        <v>text</v>
      </c>
      <c r="H13" s="9"/>
      <c r="I13" s="10" t="s">
        <v>127</v>
      </c>
      <c r="J13" s="11"/>
      <c r="M13" s="4"/>
      <c r="N13" s="76"/>
      <c r="O13" s="76"/>
      <c r="P13" s="76" t="str">
        <f>IF(B13&lt;&gt;1,","&amp;D13,D13)</f>
        <v>facility_id</v>
      </c>
      <c r="Q13" s="76" t="str">
        <f t="shared" ref="Q13:Q28" si="0">UPPER(G13)</f>
        <v>TEXT</v>
      </c>
      <c r="R13" s="76" t="str">
        <f t="shared" ref="R13:R2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milscm_2023_009.sny_202310_work_text_temp.facility_id IS '施設ID';</v>
      </c>
    </row>
    <row r="14" spans="1:45" s="25" customFormat="1">
      <c r="A14" s="4"/>
      <c r="B14" s="21">
        <f t="shared" ref="B14:B27" si="2">ROW()-12</f>
        <v>2</v>
      </c>
      <c r="C14" s="6" t="s">
        <v>4228</v>
      </c>
      <c r="D14" s="6" t="s">
        <v>1248</v>
      </c>
      <c r="E14" s="8" t="s">
        <v>127</v>
      </c>
      <c r="F14" s="7" t="s">
        <v>3820</v>
      </c>
      <c r="G14" s="7" t="str">
        <f t="shared" ref="G14:G28" si="3">IF(F14="フラグ","boolean",IF(F14="文字列","text",IF(F14="整数","integer",IF(F14="実数","numeric",""))))</f>
        <v>text</v>
      </c>
      <c r="H14" s="26"/>
      <c r="I14" s="10" t="s">
        <v>127</v>
      </c>
      <c r="J14" s="11"/>
      <c r="M14" s="4"/>
      <c r="N14" s="76"/>
      <c r="O14" s="76"/>
      <c r="P14" s="76" t="str">
        <f t="shared" ref="P14:P28" si="4">IF(B14&lt;&gt;1,","&amp;D14,D14)</f>
        <v>,master_id</v>
      </c>
      <c r="Q14" s="76" t="str">
        <f t="shared" si="0"/>
        <v>TEXT</v>
      </c>
      <c r="R14" s="76" t="str">
        <f t="shared" si="1"/>
        <v/>
      </c>
      <c r="S14" s="76" t="str">
        <f t="shared" ref="S14:S28" si="5">IF(I14="○","NOT NULL","")</f>
        <v>NOT NULL</v>
      </c>
      <c r="T14" s="76" t="str">
        <f t="shared" ref="T14:T28" si="6">"--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milscm_2023_009.sny_202310_work_text_temp.master_id IS '患者ID';</v>
      </c>
    </row>
    <row r="15" spans="1:45" s="25" customFormat="1">
      <c r="A15" s="4"/>
      <c r="B15" s="21">
        <f t="shared" si="2"/>
        <v>3</v>
      </c>
      <c r="C15" s="6" t="s">
        <v>1249</v>
      </c>
      <c r="D15" s="6" t="s">
        <v>1250</v>
      </c>
      <c r="E15" s="8" t="s">
        <v>127</v>
      </c>
      <c r="F15" s="7" t="s">
        <v>317</v>
      </c>
      <c r="G15" s="7" t="str">
        <f t="shared" si="3"/>
        <v>text</v>
      </c>
      <c r="H15" s="26"/>
      <c r="I15" s="10" t="s">
        <v>127</v>
      </c>
      <c r="J15" s="11"/>
      <c r="M15" s="4"/>
      <c r="N15" s="76"/>
      <c r="O15" s="76"/>
      <c r="P15" s="76" t="str">
        <f t="shared" si="4"/>
        <v>,uid</v>
      </c>
      <c r="Q15" s="76" t="str">
        <f t="shared" si="0"/>
        <v>TEXT</v>
      </c>
      <c r="R15" s="76" t="str">
        <f t="shared" si="1"/>
        <v/>
      </c>
      <c r="S15" s="76" t="str">
        <f t="shared" si="5"/>
        <v>NOT NULL</v>
      </c>
      <c r="T15" s="76" t="str">
        <f t="shared" si="6"/>
        <v>-- 文書ユニークID</v>
      </c>
      <c r="U15" s="4"/>
      <c r="AA15" s="4"/>
      <c r="AB15" s="4"/>
      <c r="AC15" s="4"/>
      <c r="AD15" s="4"/>
      <c r="AE15" s="4"/>
      <c r="AF15" s="4"/>
      <c r="AG15" s="4"/>
      <c r="AH15" s="4"/>
      <c r="AI15" s="4"/>
      <c r="AJ15" s="76" t="str">
        <f>IF(E15="○",IF(COUNTA(E$13:E15)=1,"",",")&amp;D15,"")</f>
        <v>,uid</v>
      </c>
      <c r="AK15" s="4"/>
      <c r="AL15" s="4"/>
      <c r="AM15" s="4"/>
      <c r="AN15" s="4"/>
      <c r="AO15" s="4"/>
      <c r="AP15" s="4"/>
      <c r="AQ15" s="4"/>
      <c r="AR15" s="4"/>
      <c r="AS15" s="76" t="str">
        <f>"COMMENT ON COLUMN "&amp;エンティティ一覧!$O$2&amp;"."&amp;D$8&amp;"."&amp;D15&amp;" IS '"&amp;C15&amp;"';"</f>
        <v>COMMENT ON COLUMN milscm_2023_009.sny_202310_work_text_temp.uid IS '文書ユニークID';</v>
      </c>
    </row>
    <row r="16" spans="1:45" s="25" customFormat="1" ht="56.25">
      <c r="A16" s="4"/>
      <c r="B16" s="21">
        <f t="shared" si="2"/>
        <v>4</v>
      </c>
      <c r="C16" s="6" t="s">
        <v>4229</v>
      </c>
      <c r="D16" s="6" t="s">
        <v>4230</v>
      </c>
      <c r="E16" s="8" t="s">
        <v>127</v>
      </c>
      <c r="F16" s="7" t="s">
        <v>204</v>
      </c>
      <c r="G16" s="7" t="str">
        <f t="shared" si="3"/>
        <v>integer</v>
      </c>
      <c r="H16" s="26"/>
      <c r="I16" s="10" t="s">
        <v>127</v>
      </c>
      <c r="J16" s="11" t="s">
        <v>4244</v>
      </c>
      <c r="M16" s="4"/>
      <c r="N16" s="76"/>
      <c r="O16" s="76"/>
      <c r="P16" s="76" t="str">
        <f t="shared" si="4"/>
        <v>,module_seq</v>
      </c>
      <c r="Q16" s="76" t="str">
        <f t="shared" si="0"/>
        <v>INTEGER</v>
      </c>
      <c r="R16" s="76" t="str">
        <f t="shared" si="1"/>
        <v/>
      </c>
      <c r="S16" s="76" t="str">
        <f t="shared" si="5"/>
        <v>NOT NULL</v>
      </c>
      <c r="T16" s="76" t="str">
        <f t="shared" si="6"/>
        <v>-- モジュールSEQ</v>
      </c>
      <c r="U16" s="4"/>
      <c r="AA16" s="4"/>
      <c r="AB16" s="4"/>
      <c r="AC16" s="4"/>
      <c r="AD16" s="4"/>
      <c r="AE16" s="4"/>
      <c r="AF16" s="4"/>
      <c r="AG16" s="4"/>
      <c r="AH16" s="4"/>
      <c r="AI16" s="4"/>
      <c r="AJ16" s="76" t="str">
        <f>IF(E16="○",IF(COUNTA(E$13:E16)=1,"",",")&amp;D16,"")</f>
        <v>,module_seq</v>
      </c>
      <c r="AK16" s="4"/>
      <c r="AL16" s="4"/>
      <c r="AM16" s="4"/>
      <c r="AN16" s="4"/>
      <c r="AO16" s="4"/>
      <c r="AP16" s="4"/>
      <c r="AQ16" s="4"/>
      <c r="AR16" s="4"/>
      <c r="AS16" s="76" t="str">
        <f>"COMMENT ON COLUMN "&amp;エンティティ一覧!$O$2&amp;"."&amp;D$8&amp;"."&amp;D16&amp;" IS '"&amp;C16&amp;"';"</f>
        <v>COMMENT ON COLUMN milscm_2023_009.sny_202310_work_text_temp.module_seq IS 'モジュールSEQ';</v>
      </c>
    </row>
    <row r="17" spans="1:52" s="25" customFormat="1">
      <c r="A17" s="4"/>
      <c r="B17" s="21">
        <f t="shared" si="2"/>
        <v>5</v>
      </c>
      <c r="C17" s="6" t="s">
        <v>1354</v>
      </c>
      <c r="D17" s="6" t="s">
        <v>1355</v>
      </c>
      <c r="E17" s="8" t="s">
        <v>127</v>
      </c>
      <c r="F17" s="7" t="s">
        <v>204</v>
      </c>
      <c r="G17" s="7" t="str">
        <f t="shared" si="3"/>
        <v>integer</v>
      </c>
      <c r="H17" s="26"/>
      <c r="I17" s="10" t="s">
        <v>127</v>
      </c>
      <c r="J17" s="11" t="s">
        <v>4245</v>
      </c>
      <c r="M17" s="4"/>
      <c r="N17" s="76"/>
      <c r="O17" s="76"/>
      <c r="P17" s="76" t="str">
        <f t="shared" si="4"/>
        <v>,problem_seq</v>
      </c>
      <c r="Q17" s="76" t="str">
        <f t="shared" si="0"/>
        <v>INTEGER</v>
      </c>
      <c r="R17" s="76" t="str">
        <f t="shared" si="1"/>
        <v/>
      </c>
      <c r="S17" s="76" t="str">
        <f t="shared" si="5"/>
        <v>NOT NULL</v>
      </c>
      <c r="T17" s="76" t="str">
        <f t="shared" si="6"/>
        <v>-- プロブレムSEQ</v>
      </c>
      <c r="U17" s="4"/>
      <c r="AA17" s="4"/>
      <c r="AB17" s="4"/>
      <c r="AC17" s="4"/>
      <c r="AD17" s="4"/>
      <c r="AE17" s="4"/>
      <c r="AF17" s="4"/>
      <c r="AG17" s="4"/>
      <c r="AH17" s="4"/>
      <c r="AI17" s="4"/>
      <c r="AJ17" s="76" t="str">
        <f>IF(E17="○",IF(COUNTA(E$13:E17)=1,"",",")&amp;D17,"")</f>
        <v>,problem_seq</v>
      </c>
      <c r="AK17" s="4"/>
      <c r="AL17" s="4"/>
      <c r="AM17" s="4"/>
      <c r="AN17" s="4"/>
      <c r="AO17" s="4"/>
      <c r="AP17" s="4"/>
      <c r="AQ17" s="4"/>
      <c r="AR17" s="4"/>
      <c r="AS17" s="76" t="str">
        <f>"COMMENT ON COLUMN "&amp;エンティティ一覧!$O$2&amp;"."&amp;D$8&amp;"."&amp;D17&amp;" IS '"&amp;C17&amp;"';"</f>
        <v>COMMENT ON COLUMN milscm_2023_009.sny_202310_work_text_temp.problem_seq IS 'プロブレムSEQ';</v>
      </c>
    </row>
    <row r="18" spans="1:52" s="25" customFormat="1">
      <c r="A18" s="4"/>
      <c r="B18" s="21">
        <f t="shared" si="2"/>
        <v>6</v>
      </c>
      <c r="C18" s="6" t="s">
        <v>1406</v>
      </c>
      <c r="D18" s="6" t="s">
        <v>1407</v>
      </c>
      <c r="E18" s="8" t="s">
        <v>127</v>
      </c>
      <c r="F18" s="7" t="s">
        <v>204</v>
      </c>
      <c r="G18" s="7" t="str">
        <f t="shared" si="3"/>
        <v>integer</v>
      </c>
      <c r="H18" s="26"/>
      <c r="I18" s="10" t="s">
        <v>127</v>
      </c>
      <c r="J18" s="11" t="s">
        <v>4246</v>
      </c>
      <c r="M18" s="4"/>
      <c r="N18" s="76"/>
      <c r="O18" s="76"/>
      <c r="P18" s="76" t="str">
        <f t="shared" si="4"/>
        <v>,assessment_item_seq</v>
      </c>
      <c r="Q18" s="76" t="str">
        <f t="shared" si="0"/>
        <v>INTEGER</v>
      </c>
      <c r="R18" s="76" t="str">
        <f t="shared" si="1"/>
        <v/>
      </c>
      <c r="S18" s="76" t="str">
        <f t="shared" si="5"/>
        <v>NOT NULL</v>
      </c>
      <c r="T18" s="76" t="str">
        <f t="shared" si="6"/>
        <v>-- アセスメントSEQ</v>
      </c>
      <c r="U18" s="4"/>
      <c r="AA18" s="4"/>
      <c r="AB18" s="4"/>
      <c r="AC18" s="4"/>
      <c r="AD18" s="4"/>
      <c r="AE18" s="4"/>
      <c r="AF18" s="4"/>
      <c r="AG18" s="4"/>
      <c r="AH18" s="4"/>
      <c r="AI18" s="4"/>
      <c r="AJ18" s="76" t="str">
        <f>IF(E18="○",IF(COUNTA(E$13:E18)=1,"",",")&amp;D18,"")</f>
        <v>,assessment_item_seq</v>
      </c>
      <c r="AK18" s="4"/>
      <c r="AL18" s="4"/>
      <c r="AM18" s="4"/>
      <c r="AN18" s="4"/>
      <c r="AO18" s="4"/>
      <c r="AP18" s="4"/>
      <c r="AQ18" s="4"/>
      <c r="AR18" s="4"/>
      <c r="AS18" s="76" t="str">
        <f>"COMMENT ON COLUMN "&amp;エンティティ一覧!$O$2&amp;"."&amp;D$8&amp;"."&amp;D18&amp;" IS '"&amp;C18&amp;"';"</f>
        <v>COMMENT ON COLUMN milscm_2023_009.sny_202310_work_text_temp.assessment_item_seq IS 'アセスメントSEQ';</v>
      </c>
    </row>
    <row r="19" spans="1:52" s="25" customFormat="1">
      <c r="A19" s="4"/>
      <c r="B19" s="21">
        <f t="shared" si="2"/>
        <v>7</v>
      </c>
      <c r="C19" s="6" t="s">
        <v>4231</v>
      </c>
      <c r="D19" s="6" t="s">
        <v>1417</v>
      </c>
      <c r="E19" s="8" t="s">
        <v>127</v>
      </c>
      <c r="F19" s="7" t="s">
        <v>204</v>
      </c>
      <c r="G19" s="7" t="str">
        <f t="shared" si="3"/>
        <v>integer</v>
      </c>
      <c r="H19" s="26"/>
      <c r="I19" s="10" t="s">
        <v>127</v>
      </c>
      <c r="J19" s="11" t="s">
        <v>4247</v>
      </c>
      <c r="M19" s="4"/>
      <c r="N19" s="76"/>
      <c r="O19" s="76"/>
      <c r="P19" s="76" t="str">
        <f t="shared" si="4"/>
        <v>,gaibu_sansyo_seq</v>
      </c>
      <c r="Q19" s="76" t="str">
        <f t="shared" si="0"/>
        <v>INTEGER</v>
      </c>
      <c r="R19" s="76" t="str">
        <f t="shared" si="1"/>
        <v/>
      </c>
      <c r="S19" s="76" t="str">
        <f t="shared" si="5"/>
        <v>NOT NULL</v>
      </c>
      <c r="T19" s="76" t="str">
        <f t="shared" si="6"/>
        <v>-- 外部参照SEQ</v>
      </c>
      <c r="U19" s="4"/>
      <c r="AA19" s="4"/>
      <c r="AB19" s="4"/>
      <c r="AC19" s="4"/>
      <c r="AD19" s="4"/>
      <c r="AE19" s="4"/>
      <c r="AF19" s="4"/>
      <c r="AG19" s="4"/>
      <c r="AH19" s="4"/>
      <c r="AI19" s="4"/>
      <c r="AJ19" s="76" t="str">
        <f>IF(E19="○",IF(COUNTA(E$13:E19)=1,"",",")&amp;D19,"")</f>
        <v>,gaibu_sansyo_seq</v>
      </c>
      <c r="AK19" s="4"/>
      <c r="AL19" s="4"/>
      <c r="AM19" s="4"/>
      <c r="AN19" s="4"/>
      <c r="AO19" s="4"/>
      <c r="AP19" s="4"/>
      <c r="AQ19" s="4"/>
      <c r="AR19" s="4"/>
      <c r="AS19" s="76" t="str">
        <f>"COMMENT ON COLUMN "&amp;エンティティ一覧!$O$2&amp;"."&amp;D$8&amp;"."&amp;D19&amp;" IS '"&amp;C19&amp;"';"</f>
        <v>COMMENT ON COLUMN milscm_2023_009.sny_202310_work_text_temp.gaibu_sansyo_seq IS '外部参照SEQ';</v>
      </c>
    </row>
    <row r="20" spans="1:52" s="25" customFormat="1">
      <c r="A20" s="4"/>
      <c r="B20" s="21">
        <f t="shared" si="2"/>
        <v>8</v>
      </c>
      <c r="C20" s="6" t="s">
        <v>1346</v>
      </c>
      <c r="D20" s="6" t="s">
        <v>1347</v>
      </c>
      <c r="E20" s="8" t="s">
        <v>127</v>
      </c>
      <c r="F20" s="7" t="s">
        <v>204</v>
      </c>
      <c r="G20" s="7" t="str">
        <f t="shared" si="3"/>
        <v>integer</v>
      </c>
      <c r="H20" s="26"/>
      <c r="I20" s="10" t="s">
        <v>127</v>
      </c>
      <c r="J20" s="11" t="s">
        <v>4248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milscm_2023_009.sny_202310_work_text_temp.keika_seq IS '経過記録SEQ';</v>
      </c>
    </row>
    <row r="21" spans="1:52" s="25" customFormat="1">
      <c r="A21" s="4"/>
      <c r="B21" s="21">
        <f t="shared" si="2"/>
        <v>9</v>
      </c>
      <c r="C21" s="6" t="s">
        <v>4232</v>
      </c>
      <c r="D21" s="6" t="s">
        <v>4233</v>
      </c>
      <c r="E21" s="8"/>
      <c r="F21" s="7" t="s">
        <v>4086</v>
      </c>
      <c r="G21" s="7" t="str">
        <f t="shared" si="3"/>
        <v>text</v>
      </c>
      <c r="H21" s="26"/>
      <c r="I21" s="10" t="s">
        <v>127</v>
      </c>
      <c r="J21" s="11" t="s">
        <v>4249</v>
      </c>
      <c r="M21" s="4"/>
      <c r="N21" s="76"/>
      <c r="O21" s="76"/>
      <c r="P21" s="76" t="str">
        <f t="shared" ref="P21:P25" si="7">IF(B21&lt;&gt;1,","&amp;D21,D21)</f>
        <v>,source_module</v>
      </c>
      <c r="Q21" s="76" t="str">
        <f t="shared" ref="Q21:Q25" si="8">UPPER(G21)</f>
        <v>TEXT</v>
      </c>
      <c r="R21" s="76" t="str">
        <f t="shared" ref="R21:R25" si="9">IF(H21&lt;&gt;"","default "&amp;IF(G21="text","'"&amp;H21&amp;"'",H21),"")</f>
        <v/>
      </c>
      <c r="S21" s="76" t="str">
        <f t="shared" ref="S21:S25" si="10">IF(I21="○","NOT NULL","")</f>
        <v>NOT NULL</v>
      </c>
      <c r="T21" s="76" t="str">
        <f t="shared" ref="T21:T25" si="11">"-- "&amp;C21</f>
        <v>-- モジュール名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milscm_2023_009.sny_202310_work_text_temp.source_module IS 'モジュール名';</v>
      </c>
    </row>
    <row r="22" spans="1:52" s="25" customFormat="1" ht="93.75">
      <c r="A22" s="4"/>
      <c r="B22" s="21">
        <f t="shared" si="2"/>
        <v>10</v>
      </c>
      <c r="C22" s="6" t="s">
        <v>4234</v>
      </c>
      <c r="D22" s="6" t="s">
        <v>4235</v>
      </c>
      <c r="E22" s="8"/>
      <c r="F22" s="7" t="s">
        <v>4086</v>
      </c>
      <c r="G22" s="7" t="str">
        <f t="shared" si="3"/>
        <v>text</v>
      </c>
      <c r="H22" s="26"/>
      <c r="I22" s="10" t="s">
        <v>127</v>
      </c>
      <c r="J22" s="11" t="s">
        <v>4250</v>
      </c>
      <c r="M22" s="4"/>
      <c r="N22" s="76"/>
      <c r="O22" s="76"/>
      <c r="P22" s="76" t="str">
        <f t="shared" si="7"/>
        <v>,source_table</v>
      </c>
      <c r="Q22" s="76" t="str">
        <f t="shared" si="8"/>
        <v>TEXT</v>
      </c>
      <c r="R22" s="76" t="str">
        <f t="shared" si="9"/>
        <v/>
      </c>
      <c r="S22" s="76" t="str">
        <f t="shared" si="10"/>
        <v>NOT NULL</v>
      </c>
      <c r="T22" s="76" t="str">
        <f t="shared" si="11"/>
        <v>-- 取得元テーブル名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milscm_2023_009.sny_202310_work_text_temp.source_table IS '取得元テーブル名';</v>
      </c>
    </row>
    <row r="23" spans="1:52" s="25" customFormat="1" ht="150">
      <c r="A23" s="4"/>
      <c r="B23" s="21">
        <f t="shared" si="2"/>
        <v>11</v>
      </c>
      <c r="C23" s="6" t="s">
        <v>4236</v>
      </c>
      <c r="D23" s="6" t="s">
        <v>4237</v>
      </c>
      <c r="E23" s="8" t="s">
        <v>127</v>
      </c>
      <c r="F23" s="7" t="s">
        <v>4086</v>
      </c>
      <c r="G23" s="7" t="str">
        <f t="shared" si="3"/>
        <v>text</v>
      </c>
      <c r="H23" s="26"/>
      <c r="I23" s="10" t="s">
        <v>127</v>
      </c>
      <c r="J23" s="11" t="s">
        <v>4251</v>
      </c>
      <c r="M23" s="4"/>
      <c r="N23" s="76"/>
      <c r="O23" s="76"/>
      <c r="P23" s="76" t="str">
        <f t="shared" si="7"/>
        <v>,source_column</v>
      </c>
      <c r="Q23" s="76" t="str">
        <f t="shared" si="8"/>
        <v>TEXT</v>
      </c>
      <c r="R23" s="76" t="str">
        <f t="shared" si="9"/>
        <v/>
      </c>
      <c r="S23" s="76" t="str">
        <f t="shared" si="10"/>
        <v>NOT NULL</v>
      </c>
      <c r="T23" s="76" t="str">
        <f t="shared" si="11"/>
        <v>-- 取得元カラム名</v>
      </c>
      <c r="U23" s="4"/>
      <c r="AA23" s="4"/>
      <c r="AB23" s="4"/>
      <c r="AC23" s="4"/>
      <c r="AD23" s="4"/>
      <c r="AE23" s="4"/>
      <c r="AF23" s="4"/>
      <c r="AG23" s="4"/>
      <c r="AH23" s="4"/>
      <c r="AI23" s="4"/>
      <c r="AJ23" s="76" t="str">
        <f>IF(E23="○",IF(COUNTA(E$13:E23)=1,"",",")&amp;D23,"")</f>
        <v>,source_column</v>
      </c>
      <c r="AK23" s="4"/>
      <c r="AL23" s="4"/>
      <c r="AM23" s="4"/>
      <c r="AN23" s="4"/>
      <c r="AO23" s="4"/>
      <c r="AP23" s="4"/>
      <c r="AQ23" s="4"/>
      <c r="AR23" s="4"/>
      <c r="AS23" s="76" t="str">
        <f>"COMMENT ON COLUMN "&amp;エンティティ一覧!$O$2&amp;"."&amp;D$8&amp;"."&amp;D23&amp;" IS '"&amp;C23&amp;"';"</f>
        <v>COMMENT ON COLUMN milscm_2023_009.sny_202310_work_text_temp.source_column IS '取得元カラム名';</v>
      </c>
    </row>
    <row r="24" spans="1:52" s="25" customFormat="1">
      <c r="A24" s="4"/>
      <c r="B24" s="21">
        <f t="shared" si="2"/>
        <v>12</v>
      </c>
      <c r="C24" s="6" t="s">
        <v>4238</v>
      </c>
      <c r="D24" s="6" t="s">
        <v>3264</v>
      </c>
      <c r="E24" s="8"/>
      <c r="F24" s="7" t="s">
        <v>4086</v>
      </c>
      <c r="G24" s="7" t="str">
        <f t="shared" si="3"/>
        <v>text</v>
      </c>
      <c r="H24" s="26"/>
      <c r="I24" s="10" t="s">
        <v>127</v>
      </c>
      <c r="J24" s="11"/>
      <c r="M24" s="4"/>
      <c r="N24" s="76"/>
      <c r="O24" s="76"/>
      <c r="P24" s="76" t="str">
        <f t="shared" si="7"/>
        <v>,comfirm_date</v>
      </c>
      <c r="Q24" s="76" t="str">
        <f t="shared" si="8"/>
        <v>TEXT</v>
      </c>
      <c r="R24" s="76" t="str">
        <f t="shared" si="9"/>
        <v/>
      </c>
      <c r="S24" s="76" t="str">
        <f t="shared" si="10"/>
        <v>NOT NULL</v>
      </c>
      <c r="T24" s="76" t="str">
        <f t="shared" si="11"/>
        <v>-- 記載確定日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milscm_2023_009.sny_202310_work_text_temp.comfirm_date IS '記載確定日';</v>
      </c>
    </row>
    <row r="25" spans="1:52" s="25" customFormat="1">
      <c r="A25" s="4"/>
      <c r="B25" s="21">
        <f t="shared" si="2"/>
        <v>13</v>
      </c>
      <c r="C25" s="6" t="s">
        <v>4239</v>
      </c>
      <c r="D25" s="6" t="s">
        <v>1525</v>
      </c>
      <c r="E25" s="8"/>
      <c r="F25" s="7" t="s">
        <v>4086</v>
      </c>
      <c r="G25" s="7" t="str">
        <f t="shared" si="3"/>
        <v>text</v>
      </c>
      <c r="H25" s="26"/>
      <c r="I25" s="10"/>
      <c r="J25" s="11" t="s">
        <v>4252</v>
      </c>
      <c r="M25" s="4"/>
      <c r="N25" s="76"/>
      <c r="O25" s="76"/>
      <c r="P25" s="76" t="str">
        <f t="shared" si="7"/>
        <v>,event_date</v>
      </c>
      <c r="Q25" s="76" t="str">
        <f t="shared" si="8"/>
        <v>TEXT</v>
      </c>
      <c r="R25" s="76" t="str">
        <f t="shared" si="9"/>
        <v/>
      </c>
      <c r="S25" s="76" t="str">
        <f t="shared" si="10"/>
        <v/>
      </c>
      <c r="T25" s="76" t="str">
        <f t="shared" si="11"/>
        <v>-- イベント発生日時</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milscm_2023_009.sny_202310_work_text_temp.event_date IS 'イベント発生日時';</v>
      </c>
    </row>
    <row r="26" spans="1:52" s="25" customFormat="1">
      <c r="A26" s="4"/>
      <c r="B26" s="21">
        <f t="shared" si="2"/>
        <v>14</v>
      </c>
      <c r="C26" s="6" t="s">
        <v>4240</v>
      </c>
      <c r="D26" s="6" t="s">
        <v>1440</v>
      </c>
      <c r="E26" s="8"/>
      <c r="F26" s="7" t="s">
        <v>4086</v>
      </c>
      <c r="G26" s="7" t="str">
        <f t="shared" si="3"/>
        <v>text</v>
      </c>
      <c r="H26" s="26"/>
      <c r="I26" s="10"/>
      <c r="J26" s="11" t="s">
        <v>4253</v>
      </c>
      <c r="M26" s="4"/>
      <c r="N26" s="76"/>
      <c r="O26" s="76"/>
      <c r="P26" s="76" t="str">
        <f t="shared" si="4"/>
        <v>,history_start_ymd</v>
      </c>
      <c r="Q26" s="76" t="str">
        <f t="shared" si="0"/>
        <v>TEXT</v>
      </c>
      <c r="R26" s="76" t="str">
        <f t="shared" si="1"/>
        <v/>
      </c>
      <c r="S26" s="76" t="str">
        <f t="shared" si="5"/>
        <v/>
      </c>
      <c r="T26" s="76" t="str">
        <f t="shared" si="6"/>
        <v>-- サマリ対象期間の開始日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milscm_2023_009.sny_202310_work_text_temp.history_start_ymd IS 'サマリ対象期間の開始日';</v>
      </c>
    </row>
    <row r="27" spans="1:52" s="25" customFormat="1">
      <c r="A27" s="4"/>
      <c r="B27" s="21">
        <f t="shared" si="2"/>
        <v>15</v>
      </c>
      <c r="C27" s="6" t="s">
        <v>4241</v>
      </c>
      <c r="D27" s="6" t="s">
        <v>1442</v>
      </c>
      <c r="E27" s="8"/>
      <c r="F27" s="7" t="s">
        <v>4086</v>
      </c>
      <c r="G27" s="7" t="str">
        <f t="shared" si="3"/>
        <v>text</v>
      </c>
      <c r="H27" s="26"/>
      <c r="I27" s="10"/>
      <c r="J27" s="11" t="s">
        <v>4254</v>
      </c>
      <c r="M27" s="4"/>
      <c r="N27" s="76"/>
      <c r="O27" s="76"/>
      <c r="P27" s="76" t="str">
        <f t="shared" si="4"/>
        <v>,history_end_ymd</v>
      </c>
      <c r="Q27" s="76" t="str">
        <f t="shared" si="0"/>
        <v>TEXT</v>
      </c>
      <c r="R27" s="76" t="str">
        <f t="shared" si="1"/>
        <v/>
      </c>
      <c r="S27" s="76" t="str">
        <f t="shared" si="5"/>
        <v/>
      </c>
      <c r="T27" s="76" t="str">
        <f t="shared" si="6"/>
        <v>-- サマリ対象期間の終了日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milscm_2023_009.sny_202310_work_text_temp.history_end_ymd IS 'サマリ対象期間の終了日';</v>
      </c>
    </row>
    <row r="28" spans="1:52" s="25" customFormat="1" ht="19.5" thickBot="1">
      <c r="A28" s="4"/>
      <c r="B28" s="27">
        <f>ROW()-12</f>
        <v>16</v>
      </c>
      <c r="C28" s="57" t="s">
        <v>4242</v>
      </c>
      <c r="D28" s="57" t="s">
        <v>4243</v>
      </c>
      <c r="E28" s="56"/>
      <c r="F28" s="56" t="s">
        <v>4227</v>
      </c>
      <c r="G28" s="56" t="str">
        <f t="shared" si="3"/>
        <v>text</v>
      </c>
      <c r="H28" s="59"/>
      <c r="I28" s="60" t="s">
        <v>127</v>
      </c>
      <c r="J28" s="64" t="s">
        <v>4255</v>
      </c>
      <c r="N28" s="76"/>
      <c r="O28" s="76"/>
      <c r="P28" s="76" t="str">
        <f t="shared" si="4"/>
        <v>,original_text</v>
      </c>
      <c r="Q28" s="76" t="str">
        <f t="shared" si="0"/>
        <v>TEXT</v>
      </c>
      <c r="R28" s="76" t="str">
        <f t="shared" si="1"/>
        <v/>
      </c>
      <c r="S28" s="76" t="str">
        <f t="shared" si="5"/>
        <v>NOT NULL</v>
      </c>
      <c r="T28" s="76" t="str">
        <f t="shared" si="6"/>
        <v>-- オリジナルテキスト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milscm_2023_009.sny_202310_work_text_temp.original_text IS 'オリジナルテキスト';</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topLeftCell="D1" zoomScale="85" zoomScaleNormal="85" workbookViewId="0">
      <selection activeCell="AS11" sqref="AS11"/>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4288</v>
      </c>
      <c r="B1" s="247" t="s">
        <v>110</v>
      </c>
      <c r="C1" s="248"/>
      <c r="D1" s="251" t="s">
        <v>111</v>
      </c>
      <c r="E1" s="252"/>
      <c r="F1" s="252"/>
      <c r="G1" s="243"/>
      <c r="H1" s="251" t="s">
        <v>112</v>
      </c>
      <c r="I1" s="243"/>
      <c r="J1" s="15" t="s">
        <v>113</v>
      </c>
    </row>
    <row r="2" spans="1:45" ht="19.5" thickBot="1">
      <c r="B2" s="249"/>
      <c r="C2" s="250"/>
      <c r="D2" s="253" t="s">
        <v>114</v>
      </c>
      <c r="E2" s="254"/>
      <c r="F2" s="254"/>
      <c r="G2" s="255"/>
      <c r="H2" s="256"/>
      <c r="I2" s="257"/>
      <c r="J2" s="17"/>
    </row>
    <row r="3" spans="1:45" ht="19.5"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ENT_41_18</v>
      </c>
      <c r="E6" s="240"/>
      <c r="F6" s="240"/>
      <c r="G6" s="240"/>
      <c r="H6" s="240"/>
      <c r="I6" s="240"/>
      <c r="J6" s="241"/>
    </row>
    <row r="7" spans="1:45">
      <c r="B7" s="229" t="s">
        <v>115</v>
      </c>
      <c r="C7" s="230"/>
      <c r="D7" s="231" t="s">
        <v>4256</v>
      </c>
      <c r="E7" s="232"/>
      <c r="F7" s="232"/>
      <c r="G7" s="232"/>
      <c r="H7" s="232"/>
      <c r="I7" s="232"/>
      <c r="J7" s="233"/>
    </row>
    <row r="8" spans="1:45">
      <c r="B8" s="229" t="s">
        <v>116</v>
      </c>
      <c r="C8" s="230"/>
      <c r="D8" s="231" t="str">
        <f>エンティティ一覧!AE2&amp;"_"&amp;D5&amp;"_text"</f>
        <v>sny_202310_work_text</v>
      </c>
      <c r="E8" s="232"/>
      <c r="F8" s="232"/>
      <c r="G8" s="232"/>
      <c r="H8" s="232"/>
      <c r="I8" s="232"/>
      <c r="J8" s="233"/>
    </row>
    <row r="9" spans="1:45" ht="19.5" customHeight="1" thickBot="1">
      <c r="B9" s="234" t="s">
        <v>117</v>
      </c>
      <c r="C9" s="235"/>
      <c r="D9" s="236" t="s">
        <v>4226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milscm_2023_009.sny_202310_work_text;</v>
      </c>
      <c r="O10" s="76"/>
      <c r="P10" s="76"/>
      <c r="Q10" s="76"/>
      <c r="R10" s="76"/>
      <c r="S10" s="76"/>
      <c r="T10" s="76"/>
      <c r="AJ10" s="76" t="str">
        <f>"ALTER TABLE ONLY "&amp;エンティティ一覧!$O$2&amp;"."&amp;D$8</f>
        <v>ALTER TABLE ONLY milscm_2023_009.sny_202310_work_text</v>
      </c>
      <c r="AS10" s="76" t="str">
        <f>"ALTER TABLE "&amp;エンティティ一覧!$O$2&amp;"."&amp;D$8&amp;" OWNER TO pgmisgrp1;"</f>
        <v>ALTER TABLE milscm_2023_009.sny_202310_work_text OWNER TO pgmisgrp1;</v>
      </c>
    </row>
    <row r="11" spans="1:45" ht="19.5" thickBot="1">
      <c r="B11" s="20" t="s">
        <v>118</v>
      </c>
      <c r="C11" s="19"/>
      <c r="D11" s="5"/>
      <c r="E11" s="5"/>
      <c r="F11" s="5"/>
      <c r="G11" s="5"/>
      <c r="H11" s="5"/>
      <c r="I11" s="5"/>
      <c r="J11" s="18"/>
      <c r="N11" s="76" t="str">
        <f>"CREATE TABLE  "&amp;エンティティ一覧!$O$2&amp;"."&amp;D$8</f>
        <v>CREATE TABLE  milscm_2023_009.sny_202310_work_text</v>
      </c>
      <c r="O11" s="76"/>
      <c r="P11" s="76"/>
      <c r="Q11" s="76"/>
      <c r="R11" s="76"/>
      <c r="S11" s="76"/>
      <c r="T11" s="76"/>
      <c r="AJ11" s="76" t="str">
        <f>"ADD CONSTRAINT "&amp;D$8&amp;"_pkey PRIMARY KEY"</f>
        <v>ADD CONSTRAINT sny_202310_work_text_pkey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milscm_2023_009.sny_202310_work_text IS 'ワーク_テキスト情報';</v>
      </c>
    </row>
    <row r="13" spans="1:45" s="25" customFormat="1">
      <c r="A13" s="4"/>
      <c r="B13" s="21">
        <f>ROW()-12</f>
        <v>1</v>
      </c>
      <c r="C13" s="6" t="s">
        <v>4073</v>
      </c>
      <c r="D13" s="6" t="s">
        <v>4074</v>
      </c>
      <c r="E13" s="8" t="s">
        <v>127</v>
      </c>
      <c r="F13" s="8" t="s">
        <v>4227</v>
      </c>
      <c r="G13" s="7" t="str">
        <f>IF(F13="フラグ","boolean",IF(F13="文字列","text",IF(F13="整数","integer",IF(F13="実数","numeric",""))))</f>
        <v>text</v>
      </c>
      <c r="H13" s="9"/>
      <c r="I13" s="10" t="s">
        <v>127</v>
      </c>
      <c r="J13" s="11"/>
      <c r="M13" s="4"/>
      <c r="N13" s="76"/>
      <c r="O13" s="76"/>
      <c r="P13" s="76" t="str">
        <f>IF(B13&lt;&gt;1,","&amp;D13,D13)</f>
        <v>mask_id</v>
      </c>
      <c r="Q13" s="76" t="str">
        <f t="shared" ref="Q13:Q29" si="0">UPPER(G13)</f>
        <v>TEXT</v>
      </c>
      <c r="R13" s="76" t="str">
        <f t="shared" ref="R13:R2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milscm_2023_009.sny_202310_work_text.mask_id IS 'マスクID';</v>
      </c>
    </row>
    <row r="14" spans="1:45" s="25" customFormat="1">
      <c r="A14" s="4"/>
      <c r="B14" s="21">
        <f t="shared" ref="B14:B28" si="2">ROW()-12</f>
        <v>2</v>
      </c>
      <c r="C14" s="6" t="s">
        <v>4257</v>
      </c>
      <c r="D14" s="6" t="s">
        <v>4258</v>
      </c>
      <c r="E14" s="8"/>
      <c r="F14" s="7" t="s">
        <v>3820</v>
      </c>
      <c r="G14" s="7" t="str">
        <f t="shared" ref="G14" si="3">IF(F14="フラグ","boolean",IF(F14="文字列","text",IF(F14="整数","integer",IF(F14="実数","numeric",""))))</f>
        <v>text</v>
      </c>
      <c r="H14" s="26"/>
      <c r="I14" s="10" t="s">
        <v>127</v>
      </c>
      <c r="J14" s="11" t="s">
        <v>4261</v>
      </c>
      <c r="M14" s="4"/>
      <c r="N14" s="76"/>
      <c r="O14" s="76"/>
      <c r="P14" s="76" t="str">
        <f t="shared" ref="P14" si="4">IF(B14&lt;&gt;1,","&amp;D14,D14)</f>
        <v>,link_no</v>
      </c>
      <c r="Q14" s="76" t="str">
        <f t="shared" ref="Q14" si="5">UPPER(G14)</f>
        <v>TEXT</v>
      </c>
      <c r="R14" s="76" t="str">
        <f t="shared" ref="R14" si="6">IF(H14&lt;&gt;"","default "&amp;IF(G14="text","'"&amp;H14&amp;"'",H14),"")</f>
        <v/>
      </c>
      <c r="S14" s="76" t="str">
        <f t="shared" ref="S14" si="7">IF(I14="○","NOT NULL","")</f>
        <v>NOT NULL</v>
      </c>
      <c r="T14" s="76" t="str">
        <f t="shared" ref="T14" si="8">"-- "&amp;C14</f>
        <v>-- テキスト連結番号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milscm_2023_009.sny_202310_work_text.link_no IS 'テキスト連結番号';</v>
      </c>
    </row>
    <row r="15" spans="1:45" s="25" customFormat="1">
      <c r="A15" s="4"/>
      <c r="B15" s="21">
        <f t="shared" si="2"/>
        <v>3</v>
      </c>
      <c r="C15" s="6" t="s">
        <v>1249</v>
      </c>
      <c r="D15" s="6" t="s">
        <v>1250</v>
      </c>
      <c r="E15" s="8" t="s">
        <v>127</v>
      </c>
      <c r="F15" s="7" t="s">
        <v>317</v>
      </c>
      <c r="G15" s="7" t="str">
        <f t="shared" ref="G15:G29" si="9">IF(F15="フラグ","boolean",IF(F15="文字列","text",IF(F15="整数","integer",IF(F15="実数","numeric",""))))</f>
        <v>text</v>
      </c>
      <c r="H15" s="26"/>
      <c r="I15" s="10" t="s">
        <v>127</v>
      </c>
      <c r="J15" s="11"/>
      <c r="M15" s="4"/>
      <c r="N15" s="76"/>
      <c r="O15" s="76"/>
      <c r="P15" s="76" t="str">
        <f t="shared" ref="P15:P29" si="10">IF(B15&lt;&gt;1,","&amp;D15,D15)</f>
        <v>,uid</v>
      </c>
      <c r="Q15" s="76" t="str">
        <f t="shared" si="0"/>
        <v>TEXT</v>
      </c>
      <c r="R15" s="76" t="str">
        <f t="shared" si="1"/>
        <v/>
      </c>
      <c r="S15" s="76" t="str">
        <f t="shared" ref="S15:S29" si="11">IF(I15="○","NOT NULL","")</f>
        <v>NOT NULL</v>
      </c>
      <c r="T15" s="76" t="str">
        <f t="shared" ref="T15:T29" si="12">"-- "&amp;C15</f>
        <v>-- 文書ユニークID</v>
      </c>
      <c r="U15" s="4"/>
      <c r="AA15" s="4"/>
      <c r="AB15" s="4"/>
      <c r="AC15" s="4"/>
      <c r="AD15" s="4"/>
      <c r="AE15" s="4"/>
      <c r="AF15" s="4"/>
      <c r="AG15" s="4"/>
      <c r="AH15" s="4"/>
      <c r="AI15" s="4"/>
      <c r="AJ15" s="76" t="str">
        <f>IF(E15="○",IF(COUNTA(E$13:E15)=1,"",",")&amp;D15,"")</f>
        <v>,uid</v>
      </c>
      <c r="AK15" s="4"/>
      <c r="AL15" s="4"/>
      <c r="AM15" s="4"/>
      <c r="AN15" s="4"/>
      <c r="AO15" s="4"/>
      <c r="AP15" s="4"/>
      <c r="AQ15" s="4"/>
      <c r="AR15" s="4"/>
      <c r="AS15" s="76" t="str">
        <f>"COMMENT ON COLUMN "&amp;エンティティ一覧!$O$2&amp;"."&amp;D$8&amp;"."&amp;D15&amp;" IS '"&amp;C15&amp;"';"</f>
        <v>COMMENT ON COLUMN milscm_2023_009.sny_202310_work_text.uid IS '文書ユニークID';</v>
      </c>
    </row>
    <row r="16" spans="1:45" s="25" customFormat="1" ht="56.25">
      <c r="A16" s="4"/>
      <c r="B16" s="21">
        <f t="shared" si="2"/>
        <v>4</v>
      </c>
      <c r="C16" s="6" t="s">
        <v>4229</v>
      </c>
      <c r="D16" s="6" t="s">
        <v>4230</v>
      </c>
      <c r="E16" s="8" t="s">
        <v>127</v>
      </c>
      <c r="F16" s="7" t="s">
        <v>204</v>
      </c>
      <c r="G16" s="7" t="str">
        <f t="shared" si="9"/>
        <v>integer</v>
      </c>
      <c r="H16" s="26"/>
      <c r="I16" s="10" t="s">
        <v>127</v>
      </c>
      <c r="J16" s="11" t="s">
        <v>4244</v>
      </c>
      <c r="M16" s="4"/>
      <c r="N16" s="76"/>
      <c r="O16" s="76"/>
      <c r="P16" s="76" t="str">
        <f t="shared" si="10"/>
        <v>,module_seq</v>
      </c>
      <c r="Q16" s="76" t="str">
        <f t="shared" si="0"/>
        <v>INTEGER</v>
      </c>
      <c r="R16" s="76" t="str">
        <f t="shared" si="1"/>
        <v/>
      </c>
      <c r="S16" s="76" t="str">
        <f t="shared" si="11"/>
        <v>NOT NULL</v>
      </c>
      <c r="T16" s="76" t="str">
        <f t="shared" si="12"/>
        <v>-- モジュールSEQ</v>
      </c>
      <c r="U16" s="4"/>
      <c r="AA16" s="4"/>
      <c r="AB16" s="4"/>
      <c r="AC16" s="4"/>
      <c r="AD16" s="4"/>
      <c r="AE16" s="4"/>
      <c r="AF16" s="4"/>
      <c r="AG16" s="4"/>
      <c r="AH16" s="4"/>
      <c r="AI16" s="4"/>
      <c r="AJ16" s="76" t="str">
        <f>IF(E16="○",IF(COUNTA(E$13:E16)=1,"",",")&amp;D16,"")</f>
        <v>,module_seq</v>
      </c>
      <c r="AK16" s="4"/>
      <c r="AL16" s="4"/>
      <c r="AM16" s="4"/>
      <c r="AN16" s="4"/>
      <c r="AO16" s="4"/>
      <c r="AP16" s="4"/>
      <c r="AQ16" s="4"/>
      <c r="AR16" s="4"/>
      <c r="AS16" s="76" t="str">
        <f>"COMMENT ON COLUMN "&amp;エンティティ一覧!$O$2&amp;"."&amp;D$8&amp;"."&amp;D16&amp;" IS '"&amp;C16&amp;"';"</f>
        <v>COMMENT ON COLUMN milscm_2023_009.sny_202310_work_text.module_seq IS 'モジュールSEQ';</v>
      </c>
    </row>
    <row r="17" spans="1:52" s="25" customFormat="1">
      <c r="A17" s="4"/>
      <c r="B17" s="21">
        <f t="shared" si="2"/>
        <v>5</v>
      </c>
      <c r="C17" s="6" t="s">
        <v>1354</v>
      </c>
      <c r="D17" s="6" t="s">
        <v>1355</v>
      </c>
      <c r="E17" s="8" t="s">
        <v>127</v>
      </c>
      <c r="F17" s="7" t="s">
        <v>204</v>
      </c>
      <c r="G17" s="7" t="str">
        <f t="shared" si="9"/>
        <v>integer</v>
      </c>
      <c r="H17" s="26"/>
      <c r="I17" s="10" t="s">
        <v>127</v>
      </c>
      <c r="J17" s="11" t="s">
        <v>4245</v>
      </c>
      <c r="M17" s="4"/>
      <c r="N17" s="76"/>
      <c r="O17" s="76"/>
      <c r="P17" s="76" t="str">
        <f t="shared" si="10"/>
        <v>,problem_seq</v>
      </c>
      <c r="Q17" s="76" t="str">
        <f t="shared" si="0"/>
        <v>INTEGER</v>
      </c>
      <c r="R17" s="76" t="str">
        <f t="shared" si="1"/>
        <v/>
      </c>
      <c r="S17" s="76" t="str">
        <f t="shared" si="11"/>
        <v>NOT NULL</v>
      </c>
      <c r="T17" s="76" t="str">
        <f t="shared" si="12"/>
        <v>-- プロブレムSEQ</v>
      </c>
      <c r="U17" s="4"/>
      <c r="AA17" s="4"/>
      <c r="AB17" s="4"/>
      <c r="AC17" s="4"/>
      <c r="AD17" s="4"/>
      <c r="AE17" s="4"/>
      <c r="AF17" s="4"/>
      <c r="AG17" s="4"/>
      <c r="AH17" s="4"/>
      <c r="AI17" s="4"/>
      <c r="AJ17" s="76" t="str">
        <f>IF(E17="○",IF(COUNTA(E$13:E17)=1,"",",")&amp;D17,"")</f>
        <v>,problem_seq</v>
      </c>
      <c r="AK17" s="4"/>
      <c r="AL17" s="4"/>
      <c r="AM17" s="4"/>
      <c r="AN17" s="4"/>
      <c r="AO17" s="4"/>
      <c r="AP17" s="4"/>
      <c r="AQ17" s="4"/>
      <c r="AR17" s="4"/>
      <c r="AS17" s="76" t="str">
        <f>"COMMENT ON COLUMN "&amp;エンティティ一覧!$O$2&amp;"."&amp;D$8&amp;"."&amp;D17&amp;" IS '"&amp;C17&amp;"';"</f>
        <v>COMMENT ON COLUMN milscm_2023_009.sny_202310_work_text.problem_seq IS 'プロブレムSEQ';</v>
      </c>
    </row>
    <row r="18" spans="1:52" s="25" customFormat="1">
      <c r="A18" s="4"/>
      <c r="B18" s="21">
        <f t="shared" si="2"/>
        <v>6</v>
      </c>
      <c r="C18" s="6" t="s">
        <v>1406</v>
      </c>
      <c r="D18" s="6" t="s">
        <v>1407</v>
      </c>
      <c r="E18" s="8" t="s">
        <v>127</v>
      </c>
      <c r="F18" s="7" t="s">
        <v>204</v>
      </c>
      <c r="G18" s="7" t="str">
        <f t="shared" si="9"/>
        <v>integer</v>
      </c>
      <c r="H18" s="26"/>
      <c r="I18" s="10" t="s">
        <v>127</v>
      </c>
      <c r="J18" s="11" t="s">
        <v>4246</v>
      </c>
      <c r="M18" s="4"/>
      <c r="N18" s="76"/>
      <c r="O18" s="76"/>
      <c r="P18" s="76" t="str">
        <f t="shared" si="10"/>
        <v>,assessment_item_seq</v>
      </c>
      <c r="Q18" s="76" t="str">
        <f t="shared" si="0"/>
        <v>INTEGER</v>
      </c>
      <c r="R18" s="76" t="str">
        <f t="shared" si="1"/>
        <v/>
      </c>
      <c r="S18" s="76" t="str">
        <f t="shared" si="11"/>
        <v>NOT NULL</v>
      </c>
      <c r="T18" s="76" t="str">
        <f t="shared" si="12"/>
        <v>-- アセスメントSEQ</v>
      </c>
      <c r="U18" s="4"/>
      <c r="AA18" s="4"/>
      <c r="AB18" s="4"/>
      <c r="AC18" s="4"/>
      <c r="AD18" s="4"/>
      <c r="AE18" s="4"/>
      <c r="AF18" s="4"/>
      <c r="AG18" s="4"/>
      <c r="AH18" s="4"/>
      <c r="AI18" s="4"/>
      <c r="AJ18" s="76" t="str">
        <f>IF(E18="○",IF(COUNTA(E$13:E18)=1,"",",")&amp;D18,"")</f>
        <v>,assessment_item_seq</v>
      </c>
      <c r="AK18" s="4"/>
      <c r="AL18" s="4"/>
      <c r="AM18" s="4"/>
      <c r="AN18" s="4"/>
      <c r="AO18" s="4"/>
      <c r="AP18" s="4"/>
      <c r="AQ18" s="4"/>
      <c r="AR18" s="4"/>
      <c r="AS18" s="76" t="str">
        <f>"COMMENT ON COLUMN "&amp;エンティティ一覧!$O$2&amp;"."&amp;D$8&amp;"."&amp;D18&amp;" IS '"&amp;C18&amp;"';"</f>
        <v>COMMENT ON COLUMN milscm_2023_009.sny_202310_work_text.assessment_item_seq IS 'アセスメントSEQ';</v>
      </c>
    </row>
    <row r="19" spans="1:52" s="25" customFormat="1">
      <c r="A19" s="4"/>
      <c r="B19" s="21">
        <f t="shared" si="2"/>
        <v>7</v>
      </c>
      <c r="C19" s="6" t="s">
        <v>4231</v>
      </c>
      <c r="D19" s="6" t="s">
        <v>1417</v>
      </c>
      <c r="E19" s="8" t="s">
        <v>127</v>
      </c>
      <c r="F19" s="7" t="s">
        <v>204</v>
      </c>
      <c r="G19" s="7" t="str">
        <f t="shared" si="9"/>
        <v>integer</v>
      </c>
      <c r="H19" s="26"/>
      <c r="I19" s="10" t="s">
        <v>127</v>
      </c>
      <c r="J19" s="11" t="s">
        <v>4247</v>
      </c>
      <c r="M19" s="4"/>
      <c r="N19" s="76"/>
      <c r="O19" s="76"/>
      <c r="P19" s="76" t="str">
        <f t="shared" si="10"/>
        <v>,gaibu_sansyo_seq</v>
      </c>
      <c r="Q19" s="76" t="str">
        <f t="shared" si="0"/>
        <v>INTEGER</v>
      </c>
      <c r="R19" s="76" t="str">
        <f t="shared" si="1"/>
        <v/>
      </c>
      <c r="S19" s="76" t="str">
        <f t="shared" si="11"/>
        <v>NOT NULL</v>
      </c>
      <c r="T19" s="76" t="str">
        <f t="shared" si="12"/>
        <v>-- 外部参照SEQ</v>
      </c>
      <c r="U19" s="4"/>
      <c r="AA19" s="4"/>
      <c r="AB19" s="4"/>
      <c r="AC19" s="4"/>
      <c r="AD19" s="4"/>
      <c r="AE19" s="4"/>
      <c r="AF19" s="4"/>
      <c r="AG19" s="4"/>
      <c r="AH19" s="4"/>
      <c r="AI19" s="4"/>
      <c r="AJ19" s="76" t="str">
        <f>IF(E19="○",IF(COUNTA(E$13:E19)=1,"",",")&amp;D19,"")</f>
        <v>,gaibu_sansyo_seq</v>
      </c>
      <c r="AK19" s="4"/>
      <c r="AL19" s="4"/>
      <c r="AM19" s="4"/>
      <c r="AN19" s="4"/>
      <c r="AO19" s="4"/>
      <c r="AP19" s="4"/>
      <c r="AQ19" s="4"/>
      <c r="AR19" s="4"/>
      <c r="AS19" s="76" t="str">
        <f>"COMMENT ON COLUMN "&amp;エンティティ一覧!$O$2&amp;"."&amp;D$8&amp;"."&amp;D19&amp;" IS '"&amp;C19&amp;"';"</f>
        <v>COMMENT ON COLUMN milscm_2023_009.sny_202310_work_text.gaibu_sansyo_seq IS '外部参照SEQ';</v>
      </c>
    </row>
    <row r="20" spans="1:52" s="25" customFormat="1">
      <c r="A20" s="4"/>
      <c r="B20" s="21">
        <f t="shared" si="2"/>
        <v>8</v>
      </c>
      <c r="C20" s="6" t="s">
        <v>1346</v>
      </c>
      <c r="D20" s="6" t="s">
        <v>1347</v>
      </c>
      <c r="E20" s="8" t="s">
        <v>127</v>
      </c>
      <c r="F20" s="7" t="s">
        <v>204</v>
      </c>
      <c r="G20" s="7" t="str">
        <f t="shared" si="9"/>
        <v>integer</v>
      </c>
      <c r="H20" s="26"/>
      <c r="I20" s="10" t="s">
        <v>127</v>
      </c>
      <c r="J20" s="11" t="s">
        <v>4248</v>
      </c>
      <c r="M20" s="4"/>
      <c r="N20" s="76"/>
      <c r="O20" s="76"/>
      <c r="P20" s="76" t="str">
        <f t="shared" si="10"/>
        <v>,keika_seq</v>
      </c>
      <c r="Q20" s="76" t="str">
        <f t="shared" si="0"/>
        <v>INTEGER</v>
      </c>
      <c r="R20" s="76" t="str">
        <f t="shared" si="1"/>
        <v/>
      </c>
      <c r="S20" s="76" t="str">
        <f t="shared" si="11"/>
        <v>NOT NULL</v>
      </c>
      <c r="T20" s="76" t="str">
        <f t="shared" si="12"/>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milscm_2023_009.sny_202310_work_text.keika_seq IS '経過記録SEQ';</v>
      </c>
    </row>
    <row r="21" spans="1:52" s="25" customFormat="1">
      <c r="A21" s="4"/>
      <c r="B21" s="21">
        <f t="shared" si="2"/>
        <v>9</v>
      </c>
      <c r="C21" s="6" t="s">
        <v>4232</v>
      </c>
      <c r="D21" s="6" t="s">
        <v>4233</v>
      </c>
      <c r="E21" s="8"/>
      <c r="F21" s="7" t="s">
        <v>4086</v>
      </c>
      <c r="G21" s="7" t="str">
        <f t="shared" si="9"/>
        <v>text</v>
      </c>
      <c r="H21" s="26"/>
      <c r="I21" s="10" t="s">
        <v>127</v>
      </c>
      <c r="J21" s="11" t="s">
        <v>4249</v>
      </c>
      <c r="M21" s="4"/>
      <c r="N21" s="76"/>
      <c r="O21" s="76"/>
      <c r="P21" s="76" t="str">
        <f t="shared" si="10"/>
        <v>,source_module</v>
      </c>
      <c r="Q21" s="76" t="str">
        <f t="shared" si="0"/>
        <v>TEXT</v>
      </c>
      <c r="R21" s="76" t="str">
        <f t="shared" si="1"/>
        <v/>
      </c>
      <c r="S21" s="76" t="str">
        <f t="shared" si="11"/>
        <v>NOT NULL</v>
      </c>
      <c r="T21" s="76" t="str">
        <f t="shared" si="12"/>
        <v>-- モジュール名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milscm_2023_009.sny_202310_work_text.source_module IS 'モジュール名';</v>
      </c>
    </row>
    <row r="22" spans="1:52" s="25" customFormat="1" ht="93.75">
      <c r="A22" s="4"/>
      <c r="B22" s="21">
        <f t="shared" si="2"/>
        <v>10</v>
      </c>
      <c r="C22" s="6" t="s">
        <v>4234</v>
      </c>
      <c r="D22" s="6" t="s">
        <v>4235</v>
      </c>
      <c r="E22" s="8"/>
      <c r="F22" s="7" t="s">
        <v>4086</v>
      </c>
      <c r="G22" s="7" t="str">
        <f t="shared" si="9"/>
        <v>text</v>
      </c>
      <c r="H22" s="26"/>
      <c r="I22" s="10" t="s">
        <v>127</v>
      </c>
      <c r="J22" s="11" t="s">
        <v>4250</v>
      </c>
      <c r="M22" s="4"/>
      <c r="N22" s="76"/>
      <c r="O22" s="76"/>
      <c r="P22" s="76" t="str">
        <f t="shared" si="10"/>
        <v>,source_table</v>
      </c>
      <c r="Q22" s="76" t="str">
        <f t="shared" si="0"/>
        <v>TEXT</v>
      </c>
      <c r="R22" s="76" t="str">
        <f t="shared" si="1"/>
        <v/>
      </c>
      <c r="S22" s="76" t="str">
        <f t="shared" si="11"/>
        <v>NOT NULL</v>
      </c>
      <c r="T22" s="76" t="str">
        <f t="shared" si="12"/>
        <v>-- 取得元テーブル名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milscm_2023_009.sny_202310_work_text.source_table IS '取得元テーブル名';</v>
      </c>
    </row>
    <row r="23" spans="1:52" s="25" customFormat="1" ht="150">
      <c r="A23" s="4"/>
      <c r="B23" s="21">
        <f t="shared" si="2"/>
        <v>11</v>
      </c>
      <c r="C23" s="6" t="s">
        <v>4236</v>
      </c>
      <c r="D23" s="6" t="s">
        <v>4237</v>
      </c>
      <c r="E23" s="8" t="s">
        <v>127</v>
      </c>
      <c r="F23" s="7" t="s">
        <v>4086</v>
      </c>
      <c r="G23" s="7" t="str">
        <f t="shared" si="9"/>
        <v>text</v>
      </c>
      <c r="H23" s="26"/>
      <c r="I23" s="10" t="s">
        <v>127</v>
      </c>
      <c r="J23" s="11" t="s">
        <v>4251</v>
      </c>
      <c r="M23" s="4"/>
      <c r="N23" s="76"/>
      <c r="O23" s="76"/>
      <c r="P23" s="76" t="str">
        <f t="shared" si="10"/>
        <v>,source_column</v>
      </c>
      <c r="Q23" s="76" t="str">
        <f t="shared" si="0"/>
        <v>TEXT</v>
      </c>
      <c r="R23" s="76" t="str">
        <f t="shared" si="1"/>
        <v/>
      </c>
      <c r="S23" s="76" t="str">
        <f t="shared" si="11"/>
        <v>NOT NULL</v>
      </c>
      <c r="T23" s="76" t="str">
        <f t="shared" si="12"/>
        <v>-- 取得元カラム名</v>
      </c>
      <c r="U23" s="4"/>
      <c r="AA23" s="4"/>
      <c r="AB23" s="4"/>
      <c r="AC23" s="4"/>
      <c r="AD23" s="4"/>
      <c r="AE23" s="4"/>
      <c r="AF23" s="4"/>
      <c r="AG23" s="4"/>
      <c r="AH23" s="4"/>
      <c r="AI23" s="4"/>
      <c r="AJ23" s="76" t="str">
        <f>IF(E23="○",IF(COUNTA(E$13:E23)=1,"",",")&amp;D23,"")</f>
        <v>,source_column</v>
      </c>
      <c r="AK23" s="4"/>
      <c r="AL23" s="4"/>
      <c r="AM23" s="4"/>
      <c r="AN23" s="4"/>
      <c r="AO23" s="4"/>
      <c r="AP23" s="4"/>
      <c r="AQ23" s="4"/>
      <c r="AR23" s="4"/>
      <c r="AS23" s="76" t="str">
        <f>"COMMENT ON COLUMN "&amp;エンティティ一覧!$O$2&amp;"."&amp;D$8&amp;"."&amp;D23&amp;" IS '"&amp;C23&amp;"';"</f>
        <v>COMMENT ON COLUMN milscm_2023_009.sny_202310_work_text.source_column IS '取得元カラム名';</v>
      </c>
    </row>
    <row r="24" spans="1:52" s="25" customFormat="1">
      <c r="A24" s="4"/>
      <c r="B24" s="21">
        <f t="shared" si="2"/>
        <v>12</v>
      </c>
      <c r="C24" s="6" t="s">
        <v>4238</v>
      </c>
      <c r="D24" s="6" t="s">
        <v>3264</v>
      </c>
      <c r="E24" s="8"/>
      <c r="F24" s="7" t="s">
        <v>4086</v>
      </c>
      <c r="G24" s="7" t="str">
        <f t="shared" si="9"/>
        <v>text</v>
      </c>
      <c r="H24" s="26"/>
      <c r="I24" s="10" t="s">
        <v>127</v>
      </c>
      <c r="J24" s="11"/>
      <c r="M24" s="4"/>
      <c r="N24" s="76"/>
      <c r="O24" s="76"/>
      <c r="P24" s="76" t="str">
        <f t="shared" si="10"/>
        <v>,comfirm_date</v>
      </c>
      <c r="Q24" s="76" t="str">
        <f t="shared" si="0"/>
        <v>TEXT</v>
      </c>
      <c r="R24" s="76" t="str">
        <f t="shared" si="1"/>
        <v/>
      </c>
      <c r="S24" s="76" t="str">
        <f t="shared" si="11"/>
        <v>NOT NULL</v>
      </c>
      <c r="T24" s="76" t="str">
        <f t="shared" si="12"/>
        <v>-- 記載確定日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milscm_2023_009.sny_202310_work_text.comfirm_date IS '記載確定日';</v>
      </c>
    </row>
    <row r="25" spans="1:52" s="25" customFormat="1">
      <c r="A25" s="4"/>
      <c r="B25" s="21">
        <f t="shared" si="2"/>
        <v>13</v>
      </c>
      <c r="C25" s="6" t="s">
        <v>4239</v>
      </c>
      <c r="D25" s="6" t="s">
        <v>1525</v>
      </c>
      <c r="E25" s="8"/>
      <c r="F25" s="7" t="s">
        <v>4086</v>
      </c>
      <c r="G25" s="7" t="str">
        <f t="shared" si="9"/>
        <v>text</v>
      </c>
      <c r="H25" s="26"/>
      <c r="I25" s="10"/>
      <c r="J25" s="11" t="s">
        <v>4252</v>
      </c>
      <c r="M25" s="4"/>
      <c r="N25" s="76"/>
      <c r="O25" s="76"/>
      <c r="P25" s="76" t="str">
        <f t="shared" si="10"/>
        <v>,event_date</v>
      </c>
      <c r="Q25" s="76" t="str">
        <f t="shared" si="0"/>
        <v>TEXT</v>
      </c>
      <c r="R25" s="76" t="str">
        <f t="shared" si="1"/>
        <v/>
      </c>
      <c r="S25" s="76" t="str">
        <f t="shared" si="11"/>
        <v/>
      </c>
      <c r="T25" s="76" t="str">
        <f t="shared" si="12"/>
        <v>-- イベント発生日時</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milscm_2023_009.sny_202310_work_text.event_date IS 'イベント発生日時';</v>
      </c>
    </row>
    <row r="26" spans="1:52" s="25" customFormat="1">
      <c r="A26" s="4"/>
      <c r="B26" s="21">
        <f t="shared" si="2"/>
        <v>14</v>
      </c>
      <c r="C26" s="6" t="s">
        <v>4240</v>
      </c>
      <c r="D26" s="6" t="s">
        <v>1440</v>
      </c>
      <c r="E26" s="8"/>
      <c r="F26" s="7" t="s">
        <v>4086</v>
      </c>
      <c r="G26" s="7" t="str">
        <f t="shared" si="9"/>
        <v>text</v>
      </c>
      <c r="H26" s="26"/>
      <c r="I26" s="10"/>
      <c r="J26" s="11" t="s">
        <v>4253</v>
      </c>
      <c r="M26" s="4"/>
      <c r="N26" s="76"/>
      <c r="O26" s="76"/>
      <c r="P26" s="76" t="str">
        <f t="shared" si="10"/>
        <v>,history_start_ymd</v>
      </c>
      <c r="Q26" s="76" t="str">
        <f t="shared" si="0"/>
        <v>TEXT</v>
      </c>
      <c r="R26" s="76" t="str">
        <f t="shared" si="1"/>
        <v/>
      </c>
      <c r="S26" s="76" t="str">
        <f t="shared" si="11"/>
        <v/>
      </c>
      <c r="T26" s="76" t="str">
        <f t="shared" si="12"/>
        <v>-- サマリ対象期間の開始日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milscm_2023_009.sny_202310_work_text.history_start_ymd IS 'サマリ対象期間の開始日';</v>
      </c>
    </row>
    <row r="27" spans="1:52" s="25" customFormat="1">
      <c r="A27" s="4"/>
      <c r="B27" s="21">
        <f t="shared" si="2"/>
        <v>15</v>
      </c>
      <c r="C27" s="6" t="s">
        <v>4241</v>
      </c>
      <c r="D27" s="6" t="s">
        <v>1442</v>
      </c>
      <c r="E27" s="8"/>
      <c r="F27" s="7" t="s">
        <v>4086</v>
      </c>
      <c r="G27" s="7" t="str">
        <f t="shared" si="9"/>
        <v>text</v>
      </c>
      <c r="H27" s="26"/>
      <c r="I27" s="10"/>
      <c r="J27" s="11" t="s">
        <v>4254</v>
      </c>
      <c r="M27" s="4"/>
      <c r="N27" s="76"/>
      <c r="O27" s="76"/>
      <c r="P27" s="76" t="str">
        <f t="shared" si="10"/>
        <v>,history_end_ymd</v>
      </c>
      <c r="Q27" s="76" t="str">
        <f t="shared" si="0"/>
        <v>TEXT</v>
      </c>
      <c r="R27" s="76" t="str">
        <f t="shared" si="1"/>
        <v/>
      </c>
      <c r="S27" s="76" t="str">
        <f t="shared" si="11"/>
        <v/>
      </c>
      <c r="T27" s="76" t="str">
        <f t="shared" si="12"/>
        <v>-- サマリ対象期間の終了日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milscm_2023_009.sny_202310_work_text.history_end_ymd IS 'サマリ対象期間の終了日';</v>
      </c>
    </row>
    <row r="28" spans="1:52" s="25" customFormat="1">
      <c r="A28" s="4"/>
      <c r="B28" s="21">
        <f t="shared" si="2"/>
        <v>16</v>
      </c>
      <c r="C28" s="6" t="s">
        <v>4242</v>
      </c>
      <c r="D28" s="6" t="s">
        <v>4243</v>
      </c>
      <c r="E28" s="8"/>
      <c r="F28" s="7" t="s">
        <v>4227</v>
      </c>
      <c r="G28" s="7" t="str">
        <f t="shared" si="9"/>
        <v>text</v>
      </c>
      <c r="H28" s="26"/>
      <c r="I28" s="10" t="s">
        <v>127</v>
      </c>
      <c r="J28" s="11" t="s">
        <v>4255</v>
      </c>
      <c r="M28" s="4"/>
      <c r="N28" s="76"/>
      <c r="O28" s="76"/>
      <c r="P28" s="76" t="str">
        <f t="shared" si="10"/>
        <v>,original_text</v>
      </c>
      <c r="Q28" s="76" t="str">
        <f t="shared" si="0"/>
        <v>TEXT</v>
      </c>
      <c r="R28" s="76" t="str">
        <f t="shared" si="1"/>
        <v/>
      </c>
      <c r="S28" s="76" t="str">
        <f t="shared" si="11"/>
        <v>NOT NULL</v>
      </c>
      <c r="T28" s="76" t="str">
        <f t="shared" si="12"/>
        <v>-- オリジナルテキスト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milscm_2023_009.sny_202310_work_text.original_text IS 'オリジナルテキスト';</v>
      </c>
    </row>
    <row r="29" spans="1:52" s="25" customFormat="1" ht="38.25" thickBot="1">
      <c r="A29" s="4"/>
      <c r="B29" s="27">
        <f>ROW()-12</f>
        <v>17</v>
      </c>
      <c r="C29" s="57" t="s">
        <v>4259</v>
      </c>
      <c r="D29" s="57" t="s">
        <v>4260</v>
      </c>
      <c r="E29" s="56"/>
      <c r="F29" s="56" t="s">
        <v>204</v>
      </c>
      <c r="G29" s="56" t="str">
        <f t="shared" si="9"/>
        <v>integer</v>
      </c>
      <c r="H29" s="59"/>
      <c r="I29" s="60" t="s">
        <v>127</v>
      </c>
      <c r="J29" s="64" t="s">
        <v>4262</v>
      </c>
      <c r="N29" s="76"/>
      <c r="O29" s="76"/>
      <c r="P29" s="76" t="str">
        <f t="shared" si="10"/>
        <v>,dup_text_seq</v>
      </c>
      <c r="Q29" s="76" t="str">
        <f t="shared" si="0"/>
        <v>INTEGER</v>
      </c>
      <c r="R29" s="76" t="str">
        <f t="shared" si="1"/>
        <v/>
      </c>
      <c r="S29" s="76" t="str">
        <f t="shared" si="11"/>
        <v>NOT NULL</v>
      </c>
      <c r="T29" s="76" t="str">
        <f t="shared" si="12"/>
        <v>-- テキスト重複SEQ</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milscm_2023_009.sny_202310_work_text.dup_text_seq IS 'テキスト重複SEQ';</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7" t="s">
        <v>110</v>
      </c>
      <c r="C1" s="248"/>
      <c r="D1" s="251" t="s">
        <v>111</v>
      </c>
      <c r="E1" s="252"/>
      <c r="F1" s="252"/>
      <c r="G1" s="243"/>
      <c r="H1" s="251" t="s">
        <v>112</v>
      </c>
      <c r="I1" s="243"/>
      <c r="J1" s="15" t="s">
        <v>113</v>
      </c>
    </row>
    <row r="2" spans="1:52" ht="19.5" thickBot="1">
      <c r="B2" s="249"/>
      <c r="C2" s="250"/>
      <c r="D2" s="253" t="s">
        <v>114</v>
      </c>
      <c r="E2" s="254"/>
      <c r="F2" s="254"/>
      <c r="G2" s="255"/>
      <c r="H2" s="256"/>
      <c r="I2" s="257"/>
      <c r="J2" s="17"/>
    </row>
    <row r="3" spans="1:52" ht="19.5"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ENT_41_19</v>
      </c>
      <c r="E6" s="240"/>
      <c r="F6" s="240"/>
      <c r="G6" s="240"/>
      <c r="H6" s="240"/>
      <c r="I6" s="240"/>
      <c r="J6" s="241"/>
    </row>
    <row r="7" spans="1:52">
      <c r="B7" s="229" t="s">
        <v>115</v>
      </c>
      <c r="C7" s="230"/>
      <c r="D7" s="231" t="s">
        <v>4294</v>
      </c>
      <c r="E7" s="232"/>
      <c r="F7" s="232"/>
      <c r="G7" s="232"/>
      <c r="H7" s="232"/>
      <c r="I7" s="232"/>
      <c r="J7" s="233"/>
    </row>
    <row r="8" spans="1:52">
      <c r="B8" s="229" t="s">
        <v>116</v>
      </c>
      <c r="C8" s="230"/>
      <c r="D8" s="231" t="str">
        <f>エンティティ一覧!AE2&amp;"_"&amp;D5&amp;"_kansatsu_term"</f>
        <v>sny_202310_work_kansatsu_term</v>
      </c>
      <c r="E8" s="232"/>
      <c r="F8" s="232"/>
      <c r="G8" s="232"/>
      <c r="H8" s="232"/>
      <c r="I8" s="232"/>
      <c r="J8" s="233"/>
    </row>
    <row r="9" spans="1:52" ht="19.5" customHeight="1" thickBot="1">
      <c r="B9" s="234" t="s">
        <v>117</v>
      </c>
      <c r="C9" s="235"/>
      <c r="D9" s="236" t="s">
        <v>4295</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milscm_2023_009.sny_202310_work_kansatsu_term;</v>
      </c>
      <c r="O10" s="76"/>
      <c r="P10" s="76"/>
      <c r="Q10" s="76"/>
      <c r="R10" s="76"/>
      <c r="S10" s="76"/>
      <c r="T10" s="76"/>
      <c r="AJ10" s="76" t="str">
        <f>"ALTER TABLE ONLY "&amp;エンティティ一覧!$O$2&amp;"."&amp;D$8</f>
        <v>ALTER TABLE ONLY milscm_2023_009.sny_202310_work_kansatsu_term</v>
      </c>
      <c r="AS10" s="76" t="str">
        <f>"ALTER TABLE "&amp;エンティティ一覧!$O$2&amp;"."&amp;D$8&amp;" OWNER TO pgmisgrp1;"</f>
        <v>ALTER TABLE milscm_2023_009.sny_202310_work_kansatsu_term OWNER TO pgmisgrp1;</v>
      </c>
    </row>
    <row r="11" spans="1:52" ht="19.5" thickBot="1">
      <c r="B11" s="20" t="s">
        <v>118</v>
      </c>
      <c r="C11" s="19"/>
      <c r="D11" s="5"/>
      <c r="E11" s="5"/>
      <c r="F11" s="5"/>
      <c r="G11" s="5"/>
      <c r="H11" s="5"/>
      <c r="I11" s="5"/>
      <c r="J11" s="18"/>
      <c r="N11" s="76" t="str">
        <f>"CREATE TABLE  "&amp;エンティティ一覧!$O$2&amp;"."&amp;D$8</f>
        <v>CREATE TABLE  milscm_2023_009.sny_202310_work_kansatsu_term</v>
      </c>
      <c r="O11" s="76"/>
      <c r="P11" s="76"/>
      <c r="Q11" s="76"/>
      <c r="R11" s="76"/>
      <c r="S11" s="76"/>
      <c r="T11" s="76"/>
      <c r="AJ11" s="76" t="str">
        <f>"ADD CONSTRAINT "&amp;D$8&amp;"_pkey PRIMARY KEY"</f>
        <v>ADD CONSTRAINT sny_202310_work_kansatsu_term_pkey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milscm_2023_009.sny_202310_work_kansatsu_term IS 'ワーク_観察期間';</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milscm_2023_009.sny_202310_work_kansatsu_term.mask_id IS 'マスクID';</v>
      </c>
    </row>
    <row r="14" spans="1:52" s="25" customFormat="1">
      <c r="A14" s="4"/>
      <c r="B14" s="21">
        <f t="shared" ref="B14" si="2">ROW()-12</f>
        <v>2</v>
      </c>
      <c r="C14" s="6" t="s">
        <v>4296</v>
      </c>
      <c r="D14" s="6" t="s">
        <v>4300</v>
      </c>
      <c r="E14" s="8" t="s">
        <v>127</v>
      </c>
      <c r="F14" s="7" t="s">
        <v>1823</v>
      </c>
      <c r="G14" s="7" t="str">
        <f t="shared" ref="G14:G15" si="3">IF(F14="フラグ","boolean",IF(F14="文字列","text",IF(F14="整数","integer",IF(F14="実数","numeric",""))))</f>
        <v>text</v>
      </c>
      <c r="H14" s="26"/>
      <c r="I14" s="10" t="s">
        <v>127</v>
      </c>
      <c r="J14" s="11" t="s">
        <v>4299</v>
      </c>
      <c r="M14" s="4"/>
      <c r="N14" s="76"/>
      <c r="O14" s="76"/>
      <c r="P14" s="76" t="str">
        <f t="shared" ref="P14:P15" si="4">IF(B14&lt;&gt;1,","&amp;D14,D14)</f>
        <v>,kansatsu_start_date</v>
      </c>
      <c r="Q14" s="76" t="str">
        <f t="shared" si="0"/>
        <v>TEXT</v>
      </c>
      <c r="R14" s="76" t="str">
        <f t="shared" si="1"/>
        <v/>
      </c>
      <c r="S14" s="76" t="str">
        <f t="shared" ref="S14:S15" si="5">IF(I14="○","NOT NULL","")</f>
        <v>NOT NULL</v>
      </c>
      <c r="T14" s="76" t="str">
        <f t="shared" ref="T14:T15" si="6">"-- "&amp;C14</f>
        <v>-- 観察期間開始日</v>
      </c>
      <c r="U14" s="4"/>
      <c r="AA14" s="4"/>
      <c r="AB14" s="4"/>
      <c r="AC14" s="4"/>
      <c r="AD14" s="4"/>
      <c r="AE14" s="4"/>
      <c r="AF14" s="4"/>
      <c r="AG14" s="4"/>
      <c r="AH14" s="4"/>
      <c r="AI14" s="4"/>
      <c r="AJ14" s="76" t="str">
        <f>IF(E14="○",IF(COUNTA(E$13:E14)=1,"",",")&amp;D14,"")</f>
        <v>,kansatsu_start_date</v>
      </c>
      <c r="AK14" s="4"/>
      <c r="AL14" s="4"/>
      <c r="AM14" s="4"/>
      <c r="AN14" s="4"/>
      <c r="AO14" s="4"/>
      <c r="AP14" s="4"/>
      <c r="AQ14" s="4"/>
      <c r="AR14" s="4"/>
      <c r="AS14" s="76" t="str">
        <f>"COMMENT ON COLUMN "&amp;エンティティ一覧!$O$2&amp;"."&amp;D$8&amp;"."&amp;D14&amp;" IS '"&amp;C14&amp;"';"</f>
        <v>COMMENT ON COLUMN milscm_2023_009.sny_202310_work_kansatsu_term.kansatsu_start_date IS '観察期間開始日';</v>
      </c>
    </row>
    <row r="15" spans="1:52" s="25" customFormat="1" ht="19.5" thickBot="1">
      <c r="A15" s="4"/>
      <c r="B15" s="27">
        <f>ROW()-12</f>
        <v>3</v>
      </c>
      <c r="C15" s="57" t="s">
        <v>4297</v>
      </c>
      <c r="D15" s="57" t="s">
        <v>4301</v>
      </c>
      <c r="E15" s="56" t="s">
        <v>127</v>
      </c>
      <c r="F15" s="56" t="s">
        <v>317</v>
      </c>
      <c r="G15" s="56" t="str">
        <f t="shared" si="3"/>
        <v>text</v>
      </c>
      <c r="H15" s="59"/>
      <c r="I15" s="60" t="s">
        <v>127</v>
      </c>
      <c r="J15" s="64" t="s">
        <v>4298</v>
      </c>
      <c r="N15" s="76"/>
      <c r="O15" s="76"/>
      <c r="P15" s="76" t="str">
        <f t="shared" si="4"/>
        <v>,kansatsu_end_date</v>
      </c>
      <c r="Q15" s="76" t="str">
        <f t="shared" si="0"/>
        <v>TEXT</v>
      </c>
      <c r="R15" s="76" t="str">
        <f t="shared" si="1"/>
        <v/>
      </c>
      <c r="S15" s="76" t="str">
        <f t="shared" si="5"/>
        <v>NOT NULL</v>
      </c>
      <c r="T15" s="76" t="str">
        <f t="shared" si="6"/>
        <v>-- 観察期間終了日</v>
      </c>
      <c r="U15" s="4"/>
      <c r="AA15" s="4"/>
      <c r="AB15" s="4"/>
      <c r="AC15" s="4"/>
      <c r="AD15" s="4"/>
      <c r="AE15" s="4"/>
      <c r="AF15" s="4"/>
      <c r="AG15" s="4"/>
      <c r="AH15" s="4"/>
      <c r="AI15" s="4"/>
      <c r="AJ15" s="76" t="str">
        <f>IF(E15="○",IF(COUNTA(E$13:E15)=1,"",",")&amp;D15,"")</f>
        <v>,kansatsu_end_date</v>
      </c>
      <c r="AK15" s="4"/>
      <c r="AL15" s="4"/>
      <c r="AM15" s="4"/>
      <c r="AN15" s="4"/>
      <c r="AO15" s="4"/>
      <c r="AP15" s="4"/>
      <c r="AQ15" s="4"/>
      <c r="AR15" s="4"/>
      <c r="AS15" s="76" t="str">
        <f>"COMMENT ON COLUMN "&amp;エンティティ一覧!$O$2&amp;"."&amp;D$8&amp;"."&amp;D15&amp;" IS '"&amp;C15&amp;"';"</f>
        <v>COMMENT ON COLUMN milscm_2023_009.sny_202310_work_kansatsu_term.kansatsu_end_date IS '観察期間終了日';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227</vt:i4>
      </vt:variant>
      <vt:variant>
        <vt:lpstr>名前付き一覧</vt:lpstr>
      </vt:variant>
      <vt:variant>
        <vt:i4>1</vt:i4>
      </vt:variant>
    </vt:vector>
  </HeadingPairs>
  <TitlesOfParts>
    <vt:vector size="228"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組入れ_対象検体検査_対象患者</vt:lpstr>
      <vt:lpstr>組入れ_対象患者</vt:lpstr>
      <vt:lpstr>患者ID一覧マスタ</vt:lpstr>
      <vt:lpstr>施設マスタ</vt:lpstr>
      <vt:lpstr>患者マスタ</vt:lpstr>
      <vt:lpstr>疾患マスタ</vt:lpstr>
      <vt:lpstr>薬剤マスタ</vt:lpstr>
      <vt:lpstr>検体検査マスタ</vt:lpstr>
      <vt:lpstr>診療行為マスタ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ワーク_疾患データ</vt:lpstr>
      <vt:lpstr>ワーク_入院退院_DPC</vt:lpstr>
      <vt:lpstr>ワーク_入院退院_MML</vt:lpstr>
      <vt:lpstr>ワーク_入院退院</vt:lpstr>
      <vt:lpstr>ワーク_外来_DPC</vt:lpstr>
      <vt:lpstr>ワーク_外来_MML</vt:lpstr>
      <vt:lpstr>ワーク_外来</vt:lpstr>
      <vt:lpstr>ワーク_処方データ</vt:lpstr>
      <vt:lpstr>ワーク_診療行為データ</vt:lpstr>
      <vt:lpstr>ワーク_検体検査データ_スキーマ2</vt:lpstr>
      <vt:lpstr>ワーク_検体検査データ_スキーマ4</vt:lpstr>
      <vt:lpstr>ワーク_検体検査データ</vt:lpstr>
      <vt:lpstr>ワーク_身長体重データ_DPC</vt:lpstr>
      <vt:lpstr>ワーク_身長体重データ_MML</vt:lpstr>
      <vt:lpstr>ワーク_身長体重データ</vt:lpstr>
      <vt:lpstr>ワーク_テキスト情報_一時</vt:lpstr>
      <vt:lpstr>ワーク_テキスト情報</vt:lpstr>
      <vt:lpstr>ワーク_観察期間</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2023-11-22T12:23:36Z</dcterms:modified>
</cp:coreProperties>
</file>