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07_塩野義_ダニSLIT\12_詳細仕様\"/>
    </mc:Choice>
  </mc:AlternateContent>
  <bookViews>
    <workbookView xWindow="0" yWindow="0" windowWidth="27876" windowHeight="12792" tabRatio="891" firstSheet="4" activeTab="6"/>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MML薬剤名一覧" sheetId="389" r:id="rId164"/>
    <sheet name="MML薬剤マスタ" sheetId="391" r:id="rId165"/>
    <sheet name="診療行為マスタ" sheetId="392" r:id="rId166"/>
    <sheet name="検体検査マスタ" sheetId="369" r:id="rId167"/>
    <sheet name="ベース_処方データ" sheetId="348" r:id="rId168"/>
    <sheet name="ベース_診療行為データ" sheetId="349" r:id="rId169"/>
    <sheet name="ベース_疾患データ" sheetId="362"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82" r:id="rId176"/>
    <sheet name="ベース_MML_検歴情報モジュール_報告コメント" sheetId="383" r:id="rId177"/>
    <sheet name="ベース_MML_検歴情報モジュール_検体検査結果情報" sheetId="384" r:id="rId178"/>
    <sheet name="ベース_MML_検歴情報モジュール_検体コメント" sheetId="385" r:id="rId179"/>
    <sheet name="ベース_MML_検歴情報モジュール_検査項目" sheetId="386" r:id="rId180"/>
    <sheet name="ベース_MML_検歴情報モジュール_検査項目コメント" sheetId="387"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ワーク_患者基本データ_DPC" sheetId="364" r:id="rId205"/>
    <sheet name="ワーク_患者基本データ_RCP_MML" sheetId="365" r:id="rId206"/>
    <sheet name="ワーク_疾患データ_DPC" sheetId="368" r:id="rId207"/>
    <sheet name="ワーク_疾患データ_RCP" sheetId="366" r:id="rId208"/>
    <sheet name="ワーク_疾患データ_MML" sheetId="393" r:id="rId209"/>
    <sheet name="ワーク_入院退院_DPC" sheetId="394" r:id="rId210"/>
    <sheet name="ワーク_入院退院_MML" sheetId="395" r:id="rId211"/>
    <sheet name="ワーク_入院退院" sheetId="396" r:id="rId212"/>
    <sheet name="ワーク_外来_DPC" sheetId="397" r:id="rId213"/>
    <sheet name="ワーク_外来_MML" sheetId="398" r:id="rId214"/>
    <sheet name="ワーク_外来" sheetId="399" r:id="rId215"/>
    <sheet name="ワーク_処方データ_DPC" sheetId="400" r:id="rId216"/>
    <sheet name="ワーク_処方データ_MML" sheetId="401" r:id="rId217"/>
    <sheet name="ワーク_診療行為データ" sheetId="402" r:id="rId218"/>
    <sheet name="ワーク_検体検査データ_スキーマ2" sheetId="403" r:id="rId219"/>
    <sheet name="ワーク_検体検査データ_スキーマ4" sheetId="405" r:id="rId220"/>
    <sheet name="ワーク_検体検査データ" sheetId="406" r:id="rId221"/>
    <sheet name="ワーク_テキスト情報_一時" sheetId="407" r:id="rId222"/>
    <sheet name="ワーク_テキスト情報" sheetId="408" r:id="rId223"/>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314" i="367" l="1"/>
  <c r="J311" i="367"/>
  <c r="J308" i="367"/>
  <c r="AJ15" i="369"/>
  <c r="T15" i="369"/>
  <c r="S15" i="369"/>
  <c r="R15" i="369"/>
  <c r="G15" i="369"/>
  <c r="Q15" i="369" s="1"/>
  <c r="B15" i="369"/>
  <c r="P15" i="369" s="1"/>
  <c r="E299" i="367"/>
  <c r="G29" i="408" l="1"/>
  <c r="G28" i="408"/>
  <c r="G27" i="408"/>
  <c r="G26" i="408"/>
  <c r="G25" i="408"/>
  <c r="G24" i="408"/>
  <c r="G23" i="408"/>
  <c r="G22" i="408"/>
  <c r="G21" i="408"/>
  <c r="G20" i="408"/>
  <c r="G19" i="408"/>
  <c r="G18" i="408"/>
  <c r="G17" i="408"/>
  <c r="G16" i="408"/>
  <c r="G15" i="408"/>
  <c r="G28" i="407"/>
  <c r="G27" i="407"/>
  <c r="G26" i="407"/>
  <c r="G25" i="407"/>
  <c r="G24" i="407"/>
  <c r="G23" i="407"/>
  <c r="G22" i="407"/>
  <c r="G21" i="407"/>
  <c r="G20" i="407"/>
  <c r="G19" i="407"/>
  <c r="J305" i="367"/>
  <c r="AJ16" i="393" l="1"/>
  <c r="T16" i="393"/>
  <c r="S16" i="393"/>
  <c r="R16" i="393"/>
  <c r="Q16" i="393"/>
  <c r="P16" i="393"/>
  <c r="G16" i="393"/>
  <c r="B16" i="393"/>
  <c r="AJ15" i="393"/>
  <c r="T15" i="393"/>
  <c r="S15" i="393"/>
  <c r="R15" i="393"/>
  <c r="Q15" i="393"/>
  <c r="P15" i="393"/>
  <c r="G15" i="393"/>
  <c r="B15" i="393"/>
  <c r="O219" i="25"/>
  <c r="O165" i="25"/>
  <c r="AJ14" i="391" l="1"/>
  <c r="T14" i="391"/>
  <c r="S14" i="391"/>
  <c r="R14" i="391"/>
  <c r="P14" i="391"/>
  <c r="G14" i="391"/>
  <c r="Q14" i="391" s="1"/>
  <c r="B14" i="391"/>
  <c r="AJ28" i="408" l="1"/>
  <c r="T28" i="408"/>
  <c r="S28" i="408"/>
  <c r="R28" i="408"/>
  <c r="P28" i="408"/>
  <c r="Q28" i="408"/>
  <c r="B28" i="408"/>
  <c r="AJ29" i="408"/>
  <c r="T29" i="408"/>
  <c r="S29" i="408"/>
  <c r="R29" i="408"/>
  <c r="Q29" i="408"/>
  <c r="B29" i="408"/>
  <c r="P29" i="408" s="1"/>
  <c r="AJ27" i="408"/>
  <c r="T27" i="408"/>
  <c r="S27" i="408"/>
  <c r="R27" i="408"/>
  <c r="Q27" i="408"/>
  <c r="P27" i="408"/>
  <c r="B27" i="408"/>
  <c r="AJ26" i="408"/>
  <c r="T26" i="408"/>
  <c r="S26" i="408"/>
  <c r="R26" i="408"/>
  <c r="Q26" i="408"/>
  <c r="P26" i="408"/>
  <c r="B26" i="408"/>
  <c r="AJ25" i="408"/>
  <c r="T25" i="408"/>
  <c r="S25" i="408"/>
  <c r="R25" i="408"/>
  <c r="Q25" i="408"/>
  <c r="P25" i="408"/>
  <c r="B25" i="408"/>
  <c r="AJ24" i="408"/>
  <c r="T24" i="408"/>
  <c r="S24" i="408"/>
  <c r="R24" i="408"/>
  <c r="Q24" i="408"/>
  <c r="B24" i="408"/>
  <c r="P24" i="408" s="1"/>
  <c r="AJ23" i="408"/>
  <c r="T23" i="408"/>
  <c r="S23" i="408"/>
  <c r="R23" i="408"/>
  <c r="Q23" i="408"/>
  <c r="B23" i="408"/>
  <c r="P23" i="408" s="1"/>
  <c r="AJ22" i="408"/>
  <c r="T22" i="408"/>
  <c r="S22" i="408"/>
  <c r="R22" i="408"/>
  <c r="Q22" i="408"/>
  <c r="B22" i="408"/>
  <c r="P22" i="408" s="1"/>
  <c r="AJ21" i="408"/>
  <c r="T21" i="408"/>
  <c r="S21" i="408"/>
  <c r="R21" i="408"/>
  <c r="Q21" i="408"/>
  <c r="B21" i="408"/>
  <c r="P21" i="408" s="1"/>
  <c r="AJ20" i="408"/>
  <c r="T20" i="408"/>
  <c r="S20" i="408"/>
  <c r="R20" i="408"/>
  <c r="Q20" i="408"/>
  <c r="B20" i="408"/>
  <c r="P20" i="408" s="1"/>
  <c r="AJ19" i="408"/>
  <c r="T19" i="408"/>
  <c r="S19" i="408"/>
  <c r="R19" i="408"/>
  <c r="Q19" i="408"/>
  <c r="B19" i="408"/>
  <c r="P19" i="408" s="1"/>
  <c r="AJ18" i="408"/>
  <c r="T18" i="408"/>
  <c r="S18" i="408"/>
  <c r="R18" i="408"/>
  <c r="Q18" i="408"/>
  <c r="B18" i="408"/>
  <c r="P18" i="408" s="1"/>
  <c r="AJ17" i="408"/>
  <c r="T17" i="408"/>
  <c r="S17" i="408"/>
  <c r="R17" i="408"/>
  <c r="P17" i="408"/>
  <c r="Q17" i="408"/>
  <c r="B17" i="408"/>
  <c r="AJ16" i="408"/>
  <c r="T16" i="408"/>
  <c r="S16" i="408"/>
  <c r="R16" i="408"/>
  <c r="Q16" i="408"/>
  <c r="P16" i="408"/>
  <c r="B16" i="408"/>
  <c r="AJ15" i="408"/>
  <c r="T15" i="408"/>
  <c r="S15" i="408"/>
  <c r="R15" i="408"/>
  <c r="Q15" i="408"/>
  <c r="P15" i="408"/>
  <c r="B15" i="408"/>
  <c r="AJ14" i="408"/>
  <c r="T14" i="408"/>
  <c r="S14" i="408"/>
  <c r="R14" i="408"/>
  <c r="Q14" i="408"/>
  <c r="G14" i="408"/>
  <c r="B14" i="408"/>
  <c r="P14" i="408" s="1"/>
  <c r="AJ13" i="408"/>
  <c r="T13" i="408"/>
  <c r="S13" i="408"/>
  <c r="R13" i="408"/>
  <c r="G13" i="408"/>
  <c r="Q13" i="408" s="1"/>
  <c r="B13" i="408"/>
  <c r="P13" i="408" s="1"/>
  <c r="C458" i="367"/>
  <c r="AJ19" i="407"/>
  <c r="T19" i="407"/>
  <c r="S19" i="407"/>
  <c r="R19" i="407"/>
  <c r="Q19" i="407"/>
  <c r="B19" i="407"/>
  <c r="P19" i="407" s="1"/>
  <c r="AJ27" i="407"/>
  <c r="T27" i="407"/>
  <c r="S27" i="407"/>
  <c r="R27" i="407"/>
  <c r="Q27" i="407"/>
  <c r="B27" i="407"/>
  <c r="P27" i="407" s="1"/>
  <c r="AJ26" i="407"/>
  <c r="T26" i="407"/>
  <c r="S26" i="407"/>
  <c r="R26" i="407"/>
  <c r="Q26" i="407"/>
  <c r="B26" i="407"/>
  <c r="P26" i="407" s="1"/>
  <c r="AJ25" i="407"/>
  <c r="T25" i="407"/>
  <c r="S25" i="407"/>
  <c r="R25" i="407"/>
  <c r="Q25" i="407"/>
  <c r="B25" i="407"/>
  <c r="P25" i="407" s="1"/>
  <c r="AJ24" i="407"/>
  <c r="T24" i="407"/>
  <c r="S24" i="407"/>
  <c r="R24" i="407"/>
  <c r="Q24" i="407"/>
  <c r="B24" i="407"/>
  <c r="P24" i="407" s="1"/>
  <c r="AJ28" i="407"/>
  <c r="T28" i="407"/>
  <c r="S28" i="407"/>
  <c r="R28" i="407"/>
  <c r="Q28" i="407"/>
  <c r="B28" i="407"/>
  <c r="P28" i="407" s="1"/>
  <c r="AJ23" i="407"/>
  <c r="T23" i="407"/>
  <c r="S23" i="407"/>
  <c r="R23" i="407"/>
  <c r="Q23" i="407"/>
  <c r="B23" i="407"/>
  <c r="P23" i="407" s="1"/>
  <c r="AJ22" i="407"/>
  <c r="T22" i="407"/>
  <c r="S22" i="407"/>
  <c r="R22" i="407"/>
  <c r="Q22" i="407"/>
  <c r="B22" i="407"/>
  <c r="P22" i="407" s="1"/>
  <c r="AJ21" i="407"/>
  <c r="T21" i="407"/>
  <c r="S21" i="407"/>
  <c r="R21" i="407"/>
  <c r="Q21" i="407"/>
  <c r="B21" i="407"/>
  <c r="P21" i="407" s="1"/>
  <c r="AJ20" i="407"/>
  <c r="T20" i="407"/>
  <c r="S20" i="407"/>
  <c r="R20" i="407"/>
  <c r="Q20" i="407"/>
  <c r="B20" i="407"/>
  <c r="P20" i="407" s="1"/>
  <c r="AJ18" i="407"/>
  <c r="T18" i="407"/>
  <c r="S18" i="407"/>
  <c r="R18" i="407"/>
  <c r="G18" i="407"/>
  <c r="Q18" i="407" s="1"/>
  <c r="B18" i="407"/>
  <c r="P18" i="407" s="1"/>
  <c r="AJ17" i="407"/>
  <c r="T17" i="407"/>
  <c r="S17" i="407"/>
  <c r="R17" i="407"/>
  <c r="G17" i="407"/>
  <c r="Q17" i="407" s="1"/>
  <c r="B17" i="407"/>
  <c r="P17" i="407" s="1"/>
  <c r="AJ16" i="407"/>
  <c r="T16" i="407"/>
  <c r="S16" i="407"/>
  <c r="R16" i="407"/>
  <c r="G16" i="407"/>
  <c r="Q16" i="407" s="1"/>
  <c r="B16" i="407"/>
  <c r="P16" i="407" s="1"/>
  <c r="AJ15" i="407"/>
  <c r="T15" i="407"/>
  <c r="S15" i="407"/>
  <c r="R15" i="407"/>
  <c r="G15" i="407"/>
  <c r="Q15" i="407" s="1"/>
  <c r="B15" i="407"/>
  <c r="P15" i="407" s="1"/>
  <c r="AJ14" i="407"/>
  <c r="T14" i="407"/>
  <c r="S14" i="407"/>
  <c r="R14" i="407"/>
  <c r="G14" i="407"/>
  <c r="Q14" i="407" s="1"/>
  <c r="B14" i="407"/>
  <c r="P14" i="407" s="1"/>
  <c r="AJ13" i="407"/>
  <c r="T13" i="407"/>
  <c r="S13" i="407"/>
  <c r="R13" i="407"/>
  <c r="G13" i="407"/>
  <c r="Q13" i="407" s="1"/>
  <c r="B13" i="407"/>
  <c r="P13" i="407" s="1"/>
  <c r="AJ18" i="393" l="1"/>
  <c r="T18" i="393"/>
  <c r="S18" i="393"/>
  <c r="R18" i="393"/>
  <c r="G18" i="393"/>
  <c r="Q18" i="393" s="1"/>
  <c r="B18" i="393"/>
  <c r="P18" i="393" s="1"/>
  <c r="AJ21" i="406" l="1"/>
  <c r="T21" i="406"/>
  <c r="S21" i="406"/>
  <c r="R21" i="406"/>
  <c r="G21" i="406"/>
  <c r="Q21" i="406" s="1"/>
  <c r="B21" i="406"/>
  <c r="P21" i="406" s="1"/>
  <c r="AJ20" i="406"/>
  <c r="T20" i="406"/>
  <c r="S20" i="406"/>
  <c r="R20" i="406"/>
  <c r="G20" i="406"/>
  <c r="Q20" i="406" s="1"/>
  <c r="B20" i="406"/>
  <c r="P20" i="406" s="1"/>
  <c r="AJ19" i="406"/>
  <c r="T19" i="406"/>
  <c r="S19" i="406"/>
  <c r="R19" i="406"/>
  <c r="Q19" i="406"/>
  <c r="B19" i="406"/>
  <c r="P19" i="406" s="1"/>
  <c r="AJ18" i="406"/>
  <c r="T18" i="406"/>
  <c r="S18" i="406"/>
  <c r="R18" i="406"/>
  <c r="G18" i="406"/>
  <c r="Q18" i="406" s="1"/>
  <c r="B18" i="406"/>
  <c r="P18" i="406" s="1"/>
  <c r="AJ17" i="406"/>
  <c r="T17" i="406"/>
  <c r="S17" i="406"/>
  <c r="R17" i="406"/>
  <c r="G17" i="406"/>
  <c r="Q17" i="406" s="1"/>
  <c r="B17" i="406"/>
  <c r="P17" i="406" s="1"/>
  <c r="AJ16" i="406"/>
  <c r="T16" i="406"/>
  <c r="S16" i="406"/>
  <c r="R16" i="406"/>
  <c r="G16" i="406"/>
  <c r="Q16" i="406" s="1"/>
  <c r="B16" i="406"/>
  <c r="P16" i="406" s="1"/>
  <c r="AJ15" i="406"/>
  <c r="T15" i="406"/>
  <c r="S15" i="406"/>
  <c r="R15" i="406"/>
  <c r="G15" i="406"/>
  <c r="Q15" i="406" s="1"/>
  <c r="B15" i="406"/>
  <c r="P15" i="406" s="1"/>
  <c r="AJ14" i="406"/>
  <c r="T14" i="406"/>
  <c r="S14" i="406"/>
  <c r="R14" i="406"/>
  <c r="G14" i="406"/>
  <c r="Q14" i="406" s="1"/>
  <c r="B14" i="406"/>
  <c r="P14" i="406" s="1"/>
  <c r="AJ13" i="406"/>
  <c r="T13" i="406"/>
  <c r="S13" i="406"/>
  <c r="R13" i="406"/>
  <c r="G13" i="406"/>
  <c r="Q13" i="406" s="1"/>
  <c r="B13" i="406"/>
  <c r="P13" i="406" s="1"/>
  <c r="AJ21" i="405"/>
  <c r="T21" i="405"/>
  <c r="S21" i="405"/>
  <c r="R21" i="405"/>
  <c r="G21" i="405"/>
  <c r="Q21" i="405" s="1"/>
  <c r="B21" i="405"/>
  <c r="P21" i="405" s="1"/>
  <c r="AJ20" i="405"/>
  <c r="T20" i="405"/>
  <c r="S20" i="405"/>
  <c r="R20" i="405"/>
  <c r="G20" i="405"/>
  <c r="Q20" i="405" s="1"/>
  <c r="B20" i="405"/>
  <c r="P20" i="405" s="1"/>
  <c r="AJ19" i="405"/>
  <c r="T19" i="405"/>
  <c r="S19" i="405"/>
  <c r="R19" i="405"/>
  <c r="G19" i="405"/>
  <c r="Q19" i="405" s="1"/>
  <c r="B19" i="405"/>
  <c r="P19" i="405" s="1"/>
  <c r="AJ18" i="405"/>
  <c r="T18" i="405"/>
  <c r="S18" i="405"/>
  <c r="R18" i="405"/>
  <c r="G18" i="405"/>
  <c r="Q18" i="405" s="1"/>
  <c r="B18" i="405"/>
  <c r="P18" i="405" s="1"/>
  <c r="AJ17" i="405"/>
  <c r="T17" i="405"/>
  <c r="S17" i="405"/>
  <c r="R17" i="405"/>
  <c r="G17" i="405"/>
  <c r="Q17" i="405" s="1"/>
  <c r="B17" i="405"/>
  <c r="P17" i="405" s="1"/>
  <c r="AJ16" i="405"/>
  <c r="T16" i="405"/>
  <c r="S16" i="405"/>
  <c r="R16" i="405"/>
  <c r="G16" i="405"/>
  <c r="Q16" i="405" s="1"/>
  <c r="B16" i="405"/>
  <c r="P16" i="405" s="1"/>
  <c r="AJ15" i="405"/>
  <c r="T15" i="405"/>
  <c r="S15" i="405"/>
  <c r="R15" i="405"/>
  <c r="G15" i="405"/>
  <c r="Q15" i="405" s="1"/>
  <c r="B15" i="405"/>
  <c r="P15" i="405" s="1"/>
  <c r="AJ14" i="405"/>
  <c r="T14" i="405"/>
  <c r="S14" i="405"/>
  <c r="R14" i="405"/>
  <c r="G14" i="405"/>
  <c r="Q14" i="405" s="1"/>
  <c r="B14" i="405"/>
  <c r="P14" i="405" s="1"/>
  <c r="AJ13" i="405"/>
  <c r="T13" i="405"/>
  <c r="S13" i="405"/>
  <c r="R13" i="405"/>
  <c r="G13" i="405"/>
  <c r="Q13" i="405" s="1"/>
  <c r="B13" i="405"/>
  <c r="P13" i="405" s="1"/>
  <c r="AJ20" i="403"/>
  <c r="T20" i="403"/>
  <c r="S20" i="403"/>
  <c r="R20" i="403"/>
  <c r="G20" i="403"/>
  <c r="Q20" i="403" s="1"/>
  <c r="B20" i="403"/>
  <c r="P20" i="403" s="1"/>
  <c r="AJ19" i="403"/>
  <c r="T19" i="403"/>
  <c r="S19" i="403"/>
  <c r="R19" i="403"/>
  <c r="G19" i="403"/>
  <c r="Q19" i="403" s="1"/>
  <c r="B19" i="403"/>
  <c r="P19" i="403" s="1"/>
  <c r="AJ21" i="403"/>
  <c r="T21" i="403"/>
  <c r="S21" i="403"/>
  <c r="R21" i="403"/>
  <c r="G21" i="403"/>
  <c r="Q21" i="403" s="1"/>
  <c r="B21" i="403"/>
  <c r="P21" i="403" s="1"/>
  <c r="AJ18" i="403"/>
  <c r="T18" i="403"/>
  <c r="S18" i="403"/>
  <c r="R18" i="403"/>
  <c r="G18" i="403"/>
  <c r="Q18" i="403" s="1"/>
  <c r="B18" i="403"/>
  <c r="P18" i="403" s="1"/>
  <c r="AJ17" i="403"/>
  <c r="T17" i="403"/>
  <c r="S17" i="403"/>
  <c r="R17" i="403"/>
  <c r="G17" i="403"/>
  <c r="Q17" i="403" s="1"/>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9" i="401"/>
  <c r="T19" i="401"/>
  <c r="S19" i="401"/>
  <c r="R19" i="401"/>
  <c r="G19" i="401"/>
  <c r="Q19" i="401" s="1"/>
  <c r="B19" i="401"/>
  <c r="P19" i="401" s="1"/>
  <c r="AJ18" i="401"/>
  <c r="T18" i="401"/>
  <c r="S18" i="401"/>
  <c r="R18" i="401"/>
  <c r="G18" i="401"/>
  <c r="Q18" i="401" s="1"/>
  <c r="B18" i="401"/>
  <c r="P18" i="401" s="1"/>
  <c r="AJ20" i="401"/>
  <c r="T20" i="401"/>
  <c r="S20" i="401"/>
  <c r="R20" i="401"/>
  <c r="G20" i="401"/>
  <c r="Q20" i="401" s="1"/>
  <c r="B20" i="401"/>
  <c r="P20" i="401" s="1"/>
  <c r="AJ17" i="401"/>
  <c r="T17" i="401"/>
  <c r="S17" i="401"/>
  <c r="R17" i="401"/>
  <c r="G17" i="401"/>
  <c r="Q17" i="401" s="1"/>
  <c r="B17" i="401"/>
  <c r="P17" i="401" s="1"/>
  <c r="AJ16" i="401"/>
  <c r="T16" i="401"/>
  <c r="S16" i="401"/>
  <c r="R16" i="401"/>
  <c r="G16" i="401"/>
  <c r="Q16" i="401" s="1"/>
  <c r="B16" i="401"/>
  <c r="P16" i="401" s="1"/>
  <c r="AJ15" i="401"/>
  <c r="T15" i="401"/>
  <c r="S15" i="401"/>
  <c r="R15" i="401"/>
  <c r="G15" i="401"/>
  <c r="Q15" i="401" s="1"/>
  <c r="B15" i="401"/>
  <c r="P15" i="401" s="1"/>
  <c r="AJ14" i="401"/>
  <c r="T14" i="401"/>
  <c r="S14" i="401"/>
  <c r="R14" i="401"/>
  <c r="G14" i="401"/>
  <c r="Q14" i="401" s="1"/>
  <c r="B14" i="401"/>
  <c r="P14" i="401" s="1"/>
  <c r="AJ13" i="401"/>
  <c r="T13" i="401"/>
  <c r="S13" i="401"/>
  <c r="R13" i="401"/>
  <c r="G13" i="401"/>
  <c r="Q13" i="401" s="1"/>
  <c r="B13" i="401"/>
  <c r="P13" i="401"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AJ14" i="399"/>
  <c r="T14" i="399"/>
  <c r="S14" i="399"/>
  <c r="R14" i="399"/>
  <c r="G14" i="399"/>
  <c r="Q14" i="399" s="1"/>
  <c r="B14" i="399"/>
  <c r="P14" i="399" s="1"/>
  <c r="AJ14" i="398"/>
  <c r="T14" i="398"/>
  <c r="S14" i="398"/>
  <c r="R14" i="398"/>
  <c r="G14" i="398"/>
  <c r="Q14" i="398" s="1"/>
  <c r="B14" i="398"/>
  <c r="P14" i="398" s="1"/>
  <c r="AJ13" i="399"/>
  <c r="T13" i="399"/>
  <c r="S13" i="399"/>
  <c r="R13" i="399"/>
  <c r="G13" i="399"/>
  <c r="Q13" i="399" s="1"/>
  <c r="B13" i="399"/>
  <c r="P13" i="399" s="1"/>
  <c r="AJ13" i="398"/>
  <c r="T13" i="398"/>
  <c r="S13" i="398"/>
  <c r="R13" i="398"/>
  <c r="G13" i="398"/>
  <c r="Q13" i="398" s="1"/>
  <c r="B13" i="398"/>
  <c r="P13" i="398" s="1"/>
  <c r="AJ14" i="397"/>
  <c r="T14" i="397"/>
  <c r="S14" i="397"/>
  <c r="R14" i="397"/>
  <c r="G14" i="397"/>
  <c r="Q14" i="397" s="1"/>
  <c r="B14" i="397"/>
  <c r="P14" i="397" s="1"/>
  <c r="AJ13" i="397"/>
  <c r="T13" i="397"/>
  <c r="S13" i="397"/>
  <c r="R13" i="397"/>
  <c r="G13" i="397"/>
  <c r="Q13" i="397" s="1"/>
  <c r="B13" i="397"/>
  <c r="P13" i="397" s="1"/>
  <c r="AJ15" i="396" l="1"/>
  <c r="T15" i="396"/>
  <c r="S15" i="396"/>
  <c r="R15" i="396"/>
  <c r="G15" i="396"/>
  <c r="Q15" i="396" s="1"/>
  <c r="B15" i="396"/>
  <c r="P15" i="396" s="1"/>
  <c r="AJ14" i="396"/>
  <c r="T14" i="396"/>
  <c r="S14" i="396"/>
  <c r="R14" i="396"/>
  <c r="G14" i="396"/>
  <c r="Q14" i="396" s="1"/>
  <c r="B14" i="396"/>
  <c r="P14" i="396" s="1"/>
  <c r="AJ13" i="396"/>
  <c r="T13" i="396"/>
  <c r="S13" i="396"/>
  <c r="R13" i="396"/>
  <c r="G13" i="396"/>
  <c r="Q13" i="396" s="1"/>
  <c r="B13" i="396"/>
  <c r="P13" i="396" s="1"/>
  <c r="AJ15" i="395"/>
  <c r="T15" i="395"/>
  <c r="S15" i="395"/>
  <c r="R15" i="395"/>
  <c r="G15" i="395"/>
  <c r="Q15" i="395" s="1"/>
  <c r="B15" i="395"/>
  <c r="P15" i="395" s="1"/>
  <c r="AJ14" i="395"/>
  <c r="T14" i="395"/>
  <c r="S14" i="395"/>
  <c r="R14" i="395"/>
  <c r="G14" i="395"/>
  <c r="Q14" i="395" s="1"/>
  <c r="B14" i="395"/>
  <c r="P14" i="395" s="1"/>
  <c r="AJ13" i="395"/>
  <c r="T13" i="395"/>
  <c r="S13" i="395"/>
  <c r="R13" i="395"/>
  <c r="G13" i="395"/>
  <c r="Q13" i="395" s="1"/>
  <c r="B13" i="395"/>
  <c r="P13" i="395" s="1"/>
  <c r="AJ15" i="394"/>
  <c r="T15" i="394"/>
  <c r="S15" i="394"/>
  <c r="R15" i="394"/>
  <c r="G15" i="394"/>
  <c r="Q15" i="394" s="1"/>
  <c r="B15" i="394"/>
  <c r="P15" i="394" s="1"/>
  <c r="AJ14" i="394"/>
  <c r="T14" i="394"/>
  <c r="S14" i="394"/>
  <c r="R14" i="394"/>
  <c r="G14" i="394"/>
  <c r="Q14" i="394" s="1"/>
  <c r="B14" i="394"/>
  <c r="P14" i="394" s="1"/>
  <c r="AJ13" i="394"/>
  <c r="T13" i="394"/>
  <c r="S13" i="394"/>
  <c r="R13" i="394"/>
  <c r="G13" i="394"/>
  <c r="Q13" i="394" s="1"/>
  <c r="B13" i="394"/>
  <c r="P13" i="394" s="1"/>
  <c r="B221" i="25"/>
  <c r="O221" i="25" s="1"/>
  <c r="BK221" i="25" s="1"/>
  <c r="A221" i="25"/>
  <c r="B220" i="25"/>
  <c r="O220" i="25" s="1"/>
  <c r="BK220" i="25" s="1"/>
  <c r="A220" i="25"/>
  <c r="B219" i="25"/>
  <c r="BK219" i="25" s="1"/>
  <c r="A219" i="25"/>
  <c r="B218" i="25"/>
  <c r="O218" i="25" s="1"/>
  <c r="BK218" i="25" s="1"/>
  <c r="A218" i="25"/>
  <c r="B217" i="25"/>
  <c r="O217" i="25" s="1"/>
  <c r="BK217" i="25" s="1"/>
  <c r="A217" i="25"/>
  <c r="B216" i="25"/>
  <c r="O216" i="25" s="1"/>
  <c r="BK216" i="25" s="1"/>
  <c r="A216" i="25"/>
  <c r="B215" i="25"/>
  <c r="O215" i="25" s="1"/>
  <c r="BK215" i="25" s="1"/>
  <c r="A215" i="25"/>
  <c r="B214" i="25"/>
  <c r="O214" i="25" s="1"/>
  <c r="BK214" i="25" s="1"/>
  <c r="A214" i="25"/>
  <c r="B213" i="25"/>
  <c r="O213" i="25" s="1"/>
  <c r="BK213" i="25" s="1"/>
  <c r="A213" i="25"/>
  <c r="B212" i="25"/>
  <c r="O212" i="25" s="1"/>
  <c r="BK212" i="25" s="1"/>
  <c r="A212" i="25"/>
  <c r="B211" i="25"/>
  <c r="O211" i="25" s="1"/>
  <c r="BK211" i="25" s="1"/>
  <c r="A211" i="25"/>
  <c r="B210" i="25"/>
  <c r="O210" i="25" s="1"/>
  <c r="BK210" i="25" s="1"/>
  <c r="A210" i="25"/>
  <c r="B209" i="25"/>
  <c r="O209" i="25" s="1"/>
  <c r="BK209" i="25" s="1"/>
  <c r="A209" i="25"/>
  <c r="B208" i="25"/>
  <c r="O208" i="25" s="1"/>
  <c r="BK208" i="25" s="1"/>
  <c r="B207" i="25"/>
  <c r="B206" i="25"/>
  <c r="A208" i="25"/>
  <c r="AM220" i="25"/>
  <c r="AM210" i="25"/>
  <c r="AM209" i="25"/>
  <c r="AM217" i="25"/>
  <c r="AM218" i="25"/>
  <c r="AM219" i="25"/>
  <c r="AM221" i="25"/>
  <c r="AM213" i="25"/>
  <c r="AM215" i="25"/>
  <c r="AM211" i="25"/>
  <c r="AM212" i="25"/>
  <c r="AM214" i="25"/>
  <c r="AM208" i="25"/>
  <c r="E72" i="177" l="1"/>
  <c r="E69" i="177"/>
  <c r="AJ19" i="393"/>
  <c r="T19" i="393"/>
  <c r="S19" i="393"/>
  <c r="R19" i="393"/>
  <c r="G19" i="393"/>
  <c r="Q19" i="393" s="1"/>
  <c r="B19" i="393"/>
  <c r="P19" i="393" s="1"/>
  <c r="AJ17" i="393"/>
  <c r="T17" i="393"/>
  <c r="S17" i="393"/>
  <c r="R17" i="393"/>
  <c r="G17" i="393"/>
  <c r="Q17" i="393" s="1"/>
  <c r="B17" i="393"/>
  <c r="P17" i="393" s="1"/>
  <c r="AJ14" i="393"/>
  <c r="T14" i="393"/>
  <c r="S14" i="393"/>
  <c r="R14" i="393"/>
  <c r="G14" i="393"/>
  <c r="Q14" i="393" s="1"/>
  <c r="B14" i="393"/>
  <c r="P14" i="393" s="1"/>
  <c r="AJ13" i="393"/>
  <c r="T13" i="393"/>
  <c r="S13" i="393"/>
  <c r="R13" i="393"/>
  <c r="G13" i="393"/>
  <c r="Q13" i="393" s="1"/>
  <c r="B13" i="393"/>
  <c r="P13" i="393" s="1"/>
  <c r="C327" i="367" l="1"/>
  <c r="W327" i="367" s="1"/>
  <c r="E332" i="367"/>
  <c r="T329" i="367"/>
  <c r="E329" i="367"/>
  <c r="C326" i="367"/>
  <c r="W326" i="367" s="1"/>
  <c r="W325" i="367"/>
  <c r="C210" i="367"/>
  <c r="C228" i="367"/>
  <c r="W228" i="367" s="1"/>
  <c r="C246" i="367"/>
  <c r="W246" i="367" s="1"/>
  <c r="C264" i="367"/>
  <c r="W264" i="367" s="1"/>
  <c r="C294" i="367"/>
  <c r="W294" i="367" s="1"/>
  <c r="J320" i="367"/>
  <c r="J317" i="367"/>
  <c r="J302" i="367"/>
  <c r="T296" i="367"/>
  <c r="E296" i="367"/>
  <c r="C293" i="367"/>
  <c r="W293" i="367" s="1"/>
  <c r="W292" i="367"/>
  <c r="J278" i="367"/>
  <c r="J275" i="367"/>
  <c r="J272" i="367"/>
  <c r="J269" i="367"/>
  <c r="C263" i="367"/>
  <c r="W263" i="367" s="1"/>
  <c r="J287" i="367"/>
  <c r="J284" i="367"/>
  <c r="T266" i="367"/>
  <c r="E266" i="367"/>
  <c r="W262" i="367"/>
  <c r="T93" i="177"/>
  <c r="C91" i="177"/>
  <c r="C90" i="177"/>
  <c r="AJ16" i="392"/>
  <c r="T16" i="392"/>
  <c r="S16" i="392"/>
  <c r="R16" i="392"/>
  <c r="G16" i="392"/>
  <c r="Q16" i="392" s="1"/>
  <c r="B16" i="392"/>
  <c r="P16" i="392" s="1"/>
  <c r="AJ15" i="392"/>
  <c r="T15" i="392"/>
  <c r="S15" i="392"/>
  <c r="R15" i="392"/>
  <c r="G15" i="392"/>
  <c r="Q15" i="392" s="1"/>
  <c r="B15" i="392"/>
  <c r="P15" i="392" s="1"/>
  <c r="D9" i="392"/>
  <c r="AJ17" i="392"/>
  <c r="T17" i="392"/>
  <c r="S17" i="392"/>
  <c r="R17" i="392"/>
  <c r="G17" i="392"/>
  <c r="Q17" i="392" s="1"/>
  <c r="B17" i="392"/>
  <c r="P17" i="392" s="1"/>
  <c r="AJ14" i="392"/>
  <c r="T14" i="392"/>
  <c r="S14" i="392"/>
  <c r="R14" i="392"/>
  <c r="G14" i="392"/>
  <c r="Q14" i="392" s="1"/>
  <c r="B14" i="392"/>
  <c r="P14" i="392" s="1"/>
  <c r="AJ13" i="392"/>
  <c r="T13" i="392"/>
  <c r="S13" i="392"/>
  <c r="R13" i="392"/>
  <c r="G13" i="392"/>
  <c r="Q13" i="392" s="1"/>
  <c r="B13" i="392"/>
  <c r="P13" i="392" s="1"/>
  <c r="B164" i="25"/>
  <c r="O164" i="25" s="1"/>
  <c r="BK164" i="25" s="1"/>
  <c r="A164" i="25"/>
  <c r="C245" i="367"/>
  <c r="W245" i="367" s="1"/>
  <c r="J257" i="367"/>
  <c r="J254" i="367"/>
  <c r="J251" i="367"/>
  <c r="T248" i="367"/>
  <c r="E248" i="367"/>
  <c r="W244" i="367"/>
  <c r="J233" i="367"/>
  <c r="J236" i="367"/>
  <c r="J215" i="367"/>
  <c r="C82" i="177"/>
  <c r="W82" i="177" s="1"/>
  <c r="AJ15" i="391"/>
  <c r="T15" i="391"/>
  <c r="S15" i="391"/>
  <c r="R15" i="391"/>
  <c r="G15" i="391"/>
  <c r="Q15" i="391" s="1"/>
  <c r="B15" i="391"/>
  <c r="P15" i="391" s="1"/>
  <c r="AJ13" i="391"/>
  <c r="T13" i="391"/>
  <c r="S13" i="391"/>
  <c r="R13" i="391"/>
  <c r="G13" i="391"/>
  <c r="Q13" i="391" s="1"/>
  <c r="B13" i="391"/>
  <c r="P13" i="391" s="1"/>
  <c r="B163" i="25"/>
  <c r="O163" i="25" s="1"/>
  <c r="BK163" i="25" s="1"/>
  <c r="A163" i="25"/>
  <c r="B13" i="389"/>
  <c r="P13" i="389" s="1"/>
  <c r="G13" i="389"/>
  <c r="Q13" i="389" s="1"/>
  <c r="R13" i="389"/>
  <c r="S13" i="389"/>
  <c r="T13" i="389"/>
  <c r="AJ13" i="389"/>
  <c r="AJ15" i="389"/>
  <c r="T15" i="389"/>
  <c r="S15" i="389"/>
  <c r="R15" i="389"/>
  <c r="G15" i="389"/>
  <c r="Q15" i="389" s="1"/>
  <c r="B15" i="389"/>
  <c r="P15" i="389" s="1"/>
  <c r="AJ14" i="389"/>
  <c r="T14" i="389"/>
  <c r="S14" i="389"/>
  <c r="R14" i="389"/>
  <c r="G14" i="389"/>
  <c r="Q14" i="389" s="1"/>
  <c r="B14" i="389"/>
  <c r="P14" i="389" s="1"/>
  <c r="J75" i="177"/>
  <c r="C64" i="177"/>
  <c r="W64" i="177" s="1"/>
  <c r="T84" i="177"/>
  <c r="E84" i="177"/>
  <c r="C81" i="177"/>
  <c r="W81" i="177" s="1"/>
  <c r="W80" i="177"/>
  <c r="T66" i="177"/>
  <c r="J66" i="177"/>
  <c r="C63" i="177"/>
  <c r="W63" i="177" s="1"/>
  <c r="W62" i="177"/>
  <c r="J239" i="367"/>
  <c r="T230" i="367"/>
  <c r="E230" i="367"/>
  <c r="C227" i="367"/>
  <c r="W227" i="367" s="1"/>
  <c r="W226" i="367"/>
  <c r="C198" i="367"/>
  <c r="W198" i="367" s="1"/>
  <c r="C197" i="367"/>
  <c r="W197" i="367" s="1"/>
  <c r="E203" i="367"/>
  <c r="T200" i="367"/>
  <c r="E200" i="367"/>
  <c r="W196" i="367"/>
  <c r="E161" i="367"/>
  <c r="C156" i="367"/>
  <c r="W156" i="367" s="1"/>
  <c r="C155" i="367"/>
  <c r="W155" i="367" s="1"/>
  <c r="T158" i="367"/>
  <c r="E158" i="367"/>
  <c r="W154" i="367"/>
  <c r="C167" i="367"/>
  <c r="W167" i="367" s="1"/>
  <c r="J191" i="367"/>
  <c r="J188" i="367"/>
  <c r="T185" i="367"/>
  <c r="E185" i="367"/>
  <c r="C183" i="367"/>
  <c r="W183" i="367" s="1"/>
  <c r="C182" i="367"/>
  <c r="W182" i="367" s="1"/>
  <c r="W181" i="367"/>
  <c r="J176" i="367"/>
  <c r="J173" i="367"/>
  <c r="T170" i="367"/>
  <c r="E170" i="367"/>
  <c r="C168" i="367"/>
  <c r="W168" i="367" s="1"/>
  <c r="W166" i="367"/>
  <c r="C122" i="367"/>
  <c r="C141" i="367"/>
  <c r="C140" i="367"/>
  <c r="C123" i="367"/>
  <c r="E128" i="367"/>
  <c r="AM164" i="25"/>
  <c r="AM163" i="25"/>
  <c r="B162" i="25" l="1"/>
  <c r="O162" i="25" s="1"/>
  <c r="A162" i="25"/>
  <c r="J466" i="367"/>
  <c r="J463" i="367"/>
  <c r="T460" i="367"/>
  <c r="E460" i="367"/>
  <c r="W458" i="367"/>
  <c r="C457" i="367"/>
  <c r="W457" i="367" s="1"/>
  <c r="W456" i="367"/>
  <c r="AM162" i="25"/>
  <c r="BK162" i="25" l="1"/>
  <c r="J149" i="367" l="1"/>
  <c r="J146" i="367"/>
  <c r="T143" i="367"/>
  <c r="E143" i="367"/>
  <c r="W141" i="367"/>
  <c r="W140" i="367"/>
  <c r="W139" i="367"/>
  <c r="J116" i="367"/>
  <c r="J113" i="367"/>
  <c r="C209" i="367"/>
  <c r="W209" i="367" s="1"/>
  <c r="J134" i="367"/>
  <c r="J131" i="367"/>
  <c r="T125" i="367"/>
  <c r="E125" i="367"/>
  <c r="W123" i="367"/>
  <c r="W122" i="367"/>
  <c r="W121" i="367"/>
  <c r="J221" i="367"/>
  <c r="J218" i="367"/>
  <c r="T212" i="367"/>
  <c r="E212" i="367"/>
  <c r="W210" i="367"/>
  <c r="W208" i="367"/>
  <c r="E104" i="367"/>
  <c r="J107" i="367"/>
  <c r="E95" i="367"/>
  <c r="J98" i="367"/>
  <c r="C89" i="367"/>
  <c r="W89" i="367" s="1"/>
  <c r="E101" i="367"/>
  <c r="T92" i="367"/>
  <c r="E92" i="367"/>
  <c r="W90" i="367"/>
  <c r="W88" i="367"/>
  <c r="D9" i="369" l="1"/>
  <c r="D9" i="363"/>
  <c r="D9" i="191"/>
  <c r="E452" i="367" l="1"/>
  <c r="T449" i="367"/>
  <c r="E449" i="367"/>
  <c r="C447" i="367"/>
  <c r="W447" i="367" s="1"/>
  <c r="C446" i="367"/>
  <c r="W446" i="367" s="1"/>
  <c r="W445" i="367"/>
  <c r="T440" i="367"/>
  <c r="E440" i="367"/>
  <c r="C438" i="367"/>
  <c r="W438" i="367" s="1"/>
  <c r="C437" i="367"/>
  <c r="W437" i="367" s="1"/>
  <c r="W436" i="367"/>
  <c r="T431" i="367"/>
  <c r="E431" i="367"/>
  <c r="C429" i="367"/>
  <c r="W429" i="367" s="1"/>
  <c r="C428" i="367"/>
  <c r="W428" i="367" s="1"/>
  <c r="W427" i="367"/>
  <c r="T422" i="367"/>
  <c r="E422" i="367"/>
  <c r="C420" i="367"/>
  <c r="W420" i="367" s="1"/>
  <c r="C419" i="367"/>
  <c r="W419" i="367" s="1"/>
  <c r="W418" i="367"/>
  <c r="T413" i="367"/>
  <c r="E413" i="367"/>
  <c r="C411" i="367"/>
  <c r="W411" i="367" s="1"/>
  <c r="C410" i="367"/>
  <c r="W410" i="367" s="1"/>
  <c r="W409" i="367"/>
  <c r="T404" i="367"/>
  <c r="E404" i="367"/>
  <c r="C402" i="367"/>
  <c r="W402" i="367" s="1"/>
  <c r="C401" i="367"/>
  <c r="W401" i="367" s="1"/>
  <c r="W400" i="367"/>
  <c r="T395" i="367"/>
  <c r="E395" i="367"/>
  <c r="C393" i="367"/>
  <c r="W393" i="367" s="1"/>
  <c r="C392" i="367"/>
  <c r="W392" i="367" s="1"/>
  <c r="W391" i="367"/>
  <c r="T386" i="367"/>
  <c r="E386" i="367"/>
  <c r="C384" i="367"/>
  <c r="W384" i="367" s="1"/>
  <c r="C383" i="367"/>
  <c r="W383" i="367" s="1"/>
  <c r="W382" i="367"/>
  <c r="T377" i="367"/>
  <c r="E377" i="367"/>
  <c r="C375" i="367"/>
  <c r="W375" i="367" s="1"/>
  <c r="C374" i="367"/>
  <c r="W374" i="367" s="1"/>
  <c r="W373" i="367"/>
  <c r="T368" i="367"/>
  <c r="E368" i="367"/>
  <c r="C366" i="367"/>
  <c r="W366" i="367" s="1"/>
  <c r="C365" i="367"/>
  <c r="W365" i="367" s="1"/>
  <c r="W364" i="367"/>
  <c r="T359" i="367"/>
  <c r="E359" i="367"/>
  <c r="C357" i="367"/>
  <c r="W357" i="367" s="1"/>
  <c r="C356" i="367"/>
  <c r="W356" i="367" s="1"/>
  <c r="W355" i="367"/>
  <c r="T350" i="367"/>
  <c r="E350" i="367"/>
  <c r="C348" i="367"/>
  <c r="W348" i="367" s="1"/>
  <c r="C347" i="367"/>
  <c r="W347" i="367" s="1"/>
  <c r="W346" i="367"/>
  <c r="C339" i="367"/>
  <c r="W339" i="367" s="1"/>
  <c r="T341" i="367"/>
  <c r="E341" i="367"/>
  <c r="C338" i="367"/>
  <c r="W338" i="367" s="1"/>
  <c r="W337" i="367"/>
  <c r="E166" i="178" l="1"/>
  <c r="T163" i="178"/>
  <c r="R163" i="178"/>
  <c r="C161" i="178" s="1"/>
  <c r="W161" i="178" s="1"/>
  <c r="E163" i="178"/>
  <c r="W159" i="178"/>
  <c r="E154" i="178"/>
  <c r="T151" i="178"/>
  <c r="R151" i="178"/>
  <c r="C149" i="178" s="1"/>
  <c r="W149" i="178" s="1"/>
  <c r="E151" i="178"/>
  <c r="W147" i="178"/>
  <c r="E142" i="178"/>
  <c r="T139" i="178"/>
  <c r="R139" i="178"/>
  <c r="C137" i="178" s="1"/>
  <c r="W137" i="178" s="1"/>
  <c r="E139" i="178"/>
  <c r="W135" i="178"/>
  <c r="E130" i="178"/>
  <c r="T127" i="178"/>
  <c r="R127" i="178"/>
  <c r="C125" i="178" s="1"/>
  <c r="W125" i="178" s="1"/>
  <c r="E127" i="178"/>
  <c r="W123" i="178"/>
  <c r="E118" i="178"/>
  <c r="T115" i="178"/>
  <c r="R115" i="178"/>
  <c r="C113" i="178" s="1"/>
  <c r="W113" i="178" s="1"/>
  <c r="E115" i="178"/>
  <c r="W111" i="178"/>
  <c r="E106" i="178"/>
  <c r="T103" i="178"/>
  <c r="R103" i="178"/>
  <c r="C101" i="178" s="1"/>
  <c r="W101" i="178" s="1"/>
  <c r="E103" i="178"/>
  <c r="W99" i="178"/>
  <c r="AJ24" i="387"/>
  <c r="T24" i="387"/>
  <c r="S24" i="387"/>
  <c r="R24" i="387"/>
  <c r="G24" i="387"/>
  <c r="Q24" i="387" s="1"/>
  <c r="B24" i="387"/>
  <c r="P24" i="387" s="1"/>
  <c r="AJ23" i="387"/>
  <c r="T23" i="387"/>
  <c r="S23" i="387"/>
  <c r="R23" i="387"/>
  <c r="G23" i="387"/>
  <c r="Q23" i="387" s="1"/>
  <c r="B23" i="387"/>
  <c r="P23" i="387" s="1"/>
  <c r="AJ22" i="387"/>
  <c r="T22" i="387"/>
  <c r="S22" i="387"/>
  <c r="R22" i="387"/>
  <c r="G22" i="387"/>
  <c r="Q22" i="387" s="1"/>
  <c r="B22" i="387"/>
  <c r="P22" i="387" s="1"/>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G18" i="387"/>
  <c r="Q18" i="387" s="1"/>
  <c r="B18" i="387"/>
  <c r="P18" i="387" s="1"/>
  <c r="AJ17" i="387"/>
  <c r="T17" i="387"/>
  <c r="S17" i="387"/>
  <c r="R17" i="387"/>
  <c r="G17" i="387"/>
  <c r="Q17" i="387" s="1"/>
  <c r="B17" i="387"/>
  <c r="P17" i="387" s="1"/>
  <c r="AJ16" i="387"/>
  <c r="T16" i="387"/>
  <c r="S16" i="387"/>
  <c r="R16" i="387"/>
  <c r="G16" i="387"/>
  <c r="Q16" i="387" s="1"/>
  <c r="B16" i="387"/>
  <c r="P16" i="387"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D9" i="387"/>
  <c r="AJ41" i="386"/>
  <c r="T41" i="386"/>
  <c r="S41" i="386"/>
  <c r="R41" i="386"/>
  <c r="G41" i="386"/>
  <c r="Q41" i="386" s="1"/>
  <c r="B41" i="386"/>
  <c r="P41" i="386" s="1"/>
  <c r="AJ40" i="386"/>
  <c r="T40" i="386"/>
  <c r="S40" i="386"/>
  <c r="R40" i="386"/>
  <c r="G40" i="386"/>
  <c r="Q40" i="386" s="1"/>
  <c r="B40" i="386"/>
  <c r="P40" i="386" s="1"/>
  <c r="AJ39" i="386"/>
  <c r="T39" i="386"/>
  <c r="S39" i="386"/>
  <c r="R39" i="386"/>
  <c r="G39" i="386"/>
  <c r="Q39" i="386" s="1"/>
  <c r="B39" i="386"/>
  <c r="P39" i="386" s="1"/>
  <c r="AJ38" i="386"/>
  <c r="T38" i="386"/>
  <c r="S38" i="386"/>
  <c r="R38" i="386"/>
  <c r="G38" i="386"/>
  <c r="Q38" i="386" s="1"/>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G35" i="386"/>
  <c r="Q35" i="386" s="1"/>
  <c r="B35" i="386"/>
  <c r="P35" i="386" s="1"/>
  <c r="AJ34" i="386"/>
  <c r="T34" i="386"/>
  <c r="S34" i="386"/>
  <c r="R34" i="386"/>
  <c r="G34" i="386"/>
  <c r="Q34" i="386" s="1"/>
  <c r="B34" i="386"/>
  <c r="P34" i="386" s="1"/>
  <c r="AJ33" i="386"/>
  <c r="T33" i="386"/>
  <c r="S33" i="386"/>
  <c r="R33" i="386"/>
  <c r="G33" i="386"/>
  <c r="Q33" i="386" s="1"/>
  <c r="B33" i="386"/>
  <c r="P33" i="386" s="1"/>
  <c r="AJ32" i="386"/>
  <c r="T32" i="386"/>
  <c r="S32" i="386"/>
  <c r="R32" i="386"/>
  <c r="G32" i="386"/>
  <c r="Q32" i="386" s="1"/>
  <c r="B32" i="386"/>
  <c r="P32" i="386" s="1"/>
  <c r="AJ31" i="386"/>
  <c r="T31" i="386"/>
  <c r="S31" i="386"/>
  <c r="R31" i="386"/>
  <c r="G31" i="386"/>
  <c r="Q31" i="386" s="1"/>
  <c r="B31" i="386"/>
  <c r="P31" i="386" s="1"/>
  <c r="AJ30" i="386"/>
  <c r="T30" i="386"/>
  <c r="S30" i="386"/>
  <c r="R30" i="386"/>
  <c r="G30" i="386"/>
  <c r="Q30" i="386" s="1"/>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G27" i="386"/>
  <c r="Q27" i="386" s="1"/>
  <c r="B27" i="386"/>
  <c r="P27" i="386" s="1"/>
  <c r="AJ26" i="386"/>
  <c r="T26" i="386"/>
  <c r="S26" i="386"/>
  <c r="R26" i="386"/>
  <c r="G26" i="386"/>
  <c r="Q26" i="386" s="1"/>
  <c r="B26" i="386"/>
  <c r="P26" i="386" s="1"/>
  <c r="AJ25" i="386"/>
  <c r="T25" i="386"/>
  <c r="S25" i="386"/>
  <c r="R25" i="386"/>
  <c r="G25" i="386"/>
  <c r="Q25" i="386" s="1"/>
  <c r="B25" i="386"/>
  <c r="P25" i="386" s="1"/>
  <c r="AJ24" i="386"/>
  <c r="T24" i="386"/>
  <c r="S24" i="386"/>
  <c r="R24" i="386"/>
  <c r="G24" i="386"/>
  <c r="Q24" i="386" s="1"/>
  <c r="B24" i="386"/>
  <c r="P24" i="386" s="1"/>
  <c r="AJ23" i="386"/>
  <c r="T23" i="386"/>
  <c r="S23" i="386"/>
  <c r="R23" i="386"/>
  <c r="G23" i="386"/>
  <c r="Q23" i="386" s="1"/>
  <c r="B23" i="386"/>
  <c r="P23" i="386" s="1"/>
  <c r="AJ22" i="386"/>
  <c r="T22" i="386"/>
  <c r="S22" i="386"/>
  <c r="R22" i="386"/>
  <c r="G22" i="386"/>
  <c r="Q22" i="386" s="1"/>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G19" i="386"/>
  <c r="Q19" i="386" s="1"/>
  <c r="B19" i="386"/>
  <c r="P19" i="386" s="1"/>
  <c r="AJ18" i="386"/>
  <c r="T18" i="386"/>
  <c r="S18" i="386"/>
  <c r="R18" i="386"/>
  <c r="G18" i="386"/>
  <c r="Q18" i="386" s="1"/>
  <c r="B18" i="386"/>
  <c r="P18" i="386"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D9" i="386"/>
  <c r="AJ23" i="385"/>
  <c r="T23" i="385"/>
  <c r="S23" i="385"/>
  <c r="R23" i="385"/>
  <c r="G23" i="385"/>
  <c r="Q23" i="385" s="1"/>
  <c r="B23" i="385"/>
  <c r="P23" i="385" s="1"/>
  <c r="AJ22" i="385"/>
  <c r="T22" i="385"/>
  <c r="S22" i="385"/>
  <c r="R22" i="385"/>
  <c r="G22" i="385"/>
  <c r="Q22" i="385" s="1"/>
  <c r="B22" i="385"/>
  <c r="P22" i="385" s="1"/>
  <c r="AJ21" i="385"/>
  <c r="T21" i="385"/>
  <c r="S21" i="385"/>
  <c r="R21" i="385"/>
  <c r="G21" i="385"/>
  <c r="Q21" i="385" s="1"/>
  <c r="B21" i="385"/>
  <c r="P21" i="385" s="1"/>
  <c r="AJ20" i="385"/>
  <c r="T20" i="385"/>
  <c r="S20" i="385"/>
  <c r="R20" i="385"/>
  <c r="G20" i="385"/>
  <c r="Q20" i="385" s="1"/>
  <c r="B20" i="385"/>
  <c r="P20" i="385" s="1"/>
  <c r="AJ19" i="385"/>
  <c r="T19" i="385"/>
  <c r="S19" i="385"/>
  <c r="R19" i="385"/>
  <c r="G19" i="385"/>
  <c r="Q19" i="385" s="1"/>
  <c r="B19" i="385"/>
  <c r="P19" i="385" s="1"/>
  <c r="AJ18" i="385"/>
  <c r="T18" i="385"/>
  <c r="S18" i="385"/>
  <c r="R18" i="385"/>
  <c r="G18" i="385"/>
  <c r="Q18" i="385" s="1"/>
  <c r="B18" i="385"/>
  <c r="P18" i="385" s="1"/>
  <c r="AJ17" i="385"/>
  <c r="T17" i="385"/>
  <c r="S17" i="385"/>
  <c r="R17" i="385"/>
  <c r="G17" i="385"/>
  <c r="Q17" i="385" s="1"/>
  <c r="B17" i="385"/>
  <c r="P17" i="385" s="1"/>
  <c r="AJ16" i="385"/>
  <c r="T16" i="385"/>
  <c r="S16" i="385"/>
  <c r="R16" i="385"/>
  <c r="G16" i="385"/>
  <c r="Q16" i="385" s="1"/>
  <c r="B16" i="385"/>
  <c r="P16" i="385" s="1"/>
  <c r="AJ15" i="385"/>
  <c r="T15" i="385"/>
  <c r="S15" i="385"/>
  <c r="R15" i="385"/>
  <c r="G15" i="385"/>
  <c r="Q15" i="385" s="1"/>
  <c r="B15" i="385"/>
  <c r="P15" i="385" s="1"/>
  <c r="AJ14" i="385"/>
  <c r="T14" i="385"/>
  <c r="S14" i="385"/>
  <c r="R14" i="385"/>
  <c r="G14" i="385"/>
  <c r="Q14" i="385" s="1"/>
  <c r="B14" i="385"/>
  <c r="P14" i="385" s="1"/>
  <c r="AJ13" i="385"/>
  <c r="T13" i="385"/>
  <c r="S13" i="385"/>
  <c r="R13" i="385"/>
  <c r="G13" i="385"/>
  <c r="Q13" i="385" s="1"/>
  <c r="B13" i="385"/>
  <c r="P13" i="385" s="1"/>
  <c r="D9" i="385"/>
  <c r="AJ22" i="384"/>
  <c r="T22" i="384"/>
  <c r="S22" i="384"/>
  <c r="R22" i="384"/>
  <c r="G22" i="384"/>
  <c r="Q22" i="384" s="1"/>
  <c r="B22" i="384"/>
  <c r="P22" i="384" s="1"/>
  <c r="AJ21" i="384"/>
  <c r="T21" i="384"/>
  <c r="S21" i="384"/>
  <c r="R21" i="384"/>
  <c r="G21" i="384"/>
  <c r="Q21" i="384" s="1"/>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G18" i="384"/>
  <c r="Q18" i="384" s="1"/>
  <c r="B18" i="384"/>
  <c r="P18" i="384" s="1"/>
  <c r="AJ17" i="384"/>
  <c r="T17" i="384"/>
  <c r="S17" i="384"/>
  <c r="R17" i="384"/>
  <c r="G17" i="384"/>
  <c r="Q17" i="384" s="1"/>
  <c r="B17" i="384"/>
  <c r="P17" i="384" s="1"/>
  <c r="AJ16" i="384"/>
  <c r="T16" i="384"/>
  <c r="S16" i="384"/>
  <c r="R16" i="384"/>
  <c r="G16" i="384"/>
  <c r="Q16" i="384" s="1"/>
  <c r="B16" i="384"/>
  <c r="P16" i="384" s="1"/>
  <c r="AJ15" i="384"/>
  <c r="T15" i="384"/>
  <c r="S15" i="384"/>
  <c r="R15" i="384"/>
  <c r="G15" i="384"/>
  <c r="Q15" i="384" s="1"/>
  <c r="B15" i="384"/>
  <c r="P15" i="384" s="1"/>
  <c r="AJ14" i="384"/>
  <c r="T14" i="384"/>
  <c r="S14" i="384"/>
  <c r="R14" i="384"/>
  <c r="G14" i="384"/>
  <c r="Q14" i="384" s="1"/>
  <c r="B14" i="384"/>
  <c r="P14" i="384" s="1"/>
  <c r="AJ13" i="384"/>
  <c r="T13" i="384"/>
  <c r="S13" i="384"/>
  <c r="R13" i="384"/>
  <c r="G13" i="384"/>
  <c r="Q13" i="384" s="1"/>
  <c r="B13" i="384"/>
  <c r="P13" i="384" s="1"/>
  <c r="D9" i="384"/>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R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46" i="382"/>
  <c r="T46" i="382"/>
  <c r="S46" i="382"/>
  <c r="R46" i="382"/>
  <c r="G46" i="382"/>
  <c r="Q46" i="382" s="1"/>
  <c r="B46" i="382"/>
  <c r="P46" i="382" s="1"/>
  <c r="AJ45" i="382"/>
  <c r="T45" i="382"/>
  <c r="S45" i="382"/>
  <c r="R45" i="382"/>
  <c r="G45" i="382"/>
  <c r="Q45" i="382" s="1"/>
  <c r="B45" i="382"/>
  <c r="P45" i="382" s="1"/>
  <c r="AJ44" i="382"/>
  <c r="T44" i="382"/>
  <c r="S44" i="382"/>
  <c r="R44" i="382"/>
  <c r="G44" i="382"/>
  <c r="Q44" i="382" s="1"/>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G38" i="382"/>
  <c r="Q38" i="382" s="1"/>
  <c r="B38" i="382"/>
  <c r="P38" i="382" s="1"/>
  <c r="AJ37" i="382"/>
  <c r="T37" i="382"/>
  <c r="S37" i="382"/>
  <c r="R37" i="382"/>
  <c r="G37" i="382"/>
  <c r="Q37" i="382" s="1"/>
  <c r="B37" i="382"/>
  <c r="P37" i="382" s="1"/>
  <c r="AJ36" i="382"/>
  <c r="T36" i="382"/>
  <c r="S36" i="382"/>
  <c r="R36" i="382"/>
  <c r="G36" i="382"/>
  <c r="Q36" i="382" s="1"/>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B179" i="25"/>
  <c r="BK179" i="25" s="1"/>
  <c r="A179" i="25"/>
  <c r="B178" i="25"/>
  <c r="BK178" i="25" s="1"/>
  <c r="A178" i="25"/>
  <c r="B177" i="25"/>
  <c r="BK177" i="25" s="1"/>
  <c r="A177" i="25"/>
  <c r="B176" i="25"/>
  <c r="BK176" i="25" s="1"/>
  <c r="A176" i="25"/>
  <c r="B175" i="25"/>
  <c r="BK175" i="25" s="1"/>
  <c r="A175" i="25"/>
  <c r="B174" i="25"/>
  <c r="BK174" i="25" s="1"/>
  <c r="A174" i="25"/>
  <c r="AM174" i="25"/>
  <c r="AM177" i="25"/>
  <c r="AM178" i="25"/>
  <c r="AM176" i="25"/>
  <c r="AM175" i="25"/>
  <c r="AM179" i="25"/>
  <c r="C112" i="178" l="1"/>
  <c r="W112" i="178" s="1"/>
  <c r="C160" i="178"/>
  <c r="W160" i="178" s="1"/>
  <c r="C148" i="178"/>
  <c r="W148" i="178" s="1"/>
  <c r="C136" i="178"/>
  <c r="W136" i="178" s="1"/>
  <c r="C124" i="178"/>
  <c r="W124" i="178" s="1"/>
  <c r="C100" i="178"/>
  <c r="W100" i="178" s="1"/>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G22" i="378"/>
  <c r="Q22" i="378" s="1"/>
  <c r="B22" i="378"/>
  <c r="P22" i="378" s="1"/>
  <c r="AJ21" i="378"/>
  <c r="T21" i="378"/>
  <c r="S21" i="378"/>
  <c r="R21" i="378"/>
  <c r="G21" i="378"/>
  <c r="Q21" i="378" s="1"/>
  <c r="B21" i="378"/>
  <c r="P21" i="378" s="1"/>
  <c r="AJ20" i="378"/>
  <c r="T20" i="378"/>
  <c r="S20" i="378"/>
  <c r="R20" i="378"/>
  <c r="G20" i="378"/>
  <c r="Q20" i="378" s="1"/>
  <c r="B20" i="378"/>
  <c r="P20" i="378" s="1"/>
  <c r="AJ19" i="378"/>
  <c r="T19" i="378"/>
  <c r="S19" i="378"/>
  <c r="R19" i="378"/>
  <c r="G19" i="378"/>
  <c r="Q19" i="378" s="1"/>
  <c r="B19" i="378"/>
  <c r="P19" i="378" s="1"/>
  <c r="AJ18" i="378"/>
  <c r="T18" i="378"/>
  <c r="S18" i="378"/>
  <c r="R18" i="378"/>
  <c r="G18" i="378"/>
  <c r="Q18" i="378" s="1"/>
  <c r="B18" i="378"/>
  <c r="P18" i="378"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G44" i="376"/>
  <c r="Q44" i="376" s="1"/>
  <c r="B44" i="376"/>
  <c r="P44" i="376" s="1"/>
  <c r="AJ43" i="376"/>
  <c r="T43" i="376"/>
  <c r="S43" i="376"/>
  <c r="R43" i="376"/>
  <c r="G43" i="376"/>
  <c r="Q43" i="376" s="1"/>
  <c r="B43" i="376"/>
  <c r="P43" i="376" s="1"/>
  <c r="AJ42" i="376"/>
  <c r="T42" i="376"/>
  <c r="S42" i="376"/>
  <c r="R42" i="376"/>
  <c r="G42" i="376"/>
  <c r="Q42" i="376" s="1"/>
  <c r="B42" i="376"/>
  <c r="P42" i="376" s="1"/>
  <c r="AJ41" i="376"/>
  <c r="T41" i="376"/>
  <c r="S41" i="376"/>
  <c r="R41" i="376"/>
  <c r="G41" i="376"/>
  <c r="Q41" i="376" s="1"/>
  <c r="B41" i="376"/>
  <c r="P41" i="376" s="1"/>
  <c r="AJ40" i="376"/>
  <c r="T40" i="376"/>
  <c r="S40" i="376"/>
  <c r="R40" i="376"/>
  <c r="G40" i="376"/>
  <c r="Q40" i="376" s="1"/>
  <c r="B40" i="376"/>
  <c r="P40" i="376" s="1"/>
  <c r="AJ39" i="376"/>
  <c r="T39" i="376"/>
  <c r="S39" i="376"/>
  <c r="R39" i="376"/>
  <c r="G39" i="376"/>
  <c r="Q39" i="376" s="1"/>
  <c r="B39" i="376"/>
  <c r="P39" i="376" s="1"/>
  <c r="AJ38" i="376"/>
  <c r="T38" i="376"/>
  <c r="S38" i="376"/>
  <c r="R38" i="376"/>
  <c r="G38" i="376"/>
  <c r="Q38" i="376" s="1"/>
  <c r="B38" i="376"/>
  <c r="P38" i="376" s="1"/>
  <c r="AJ37" i="376"/>
  <c r="T37" i="376"/>
  <c r="S37" i="376"/>
  <c r="R37" i="376"/>
  <c r="G37" i="376"/>
  <c r="Q37" i="376" s="1"/>
  <c r="B37" i="376"/>
  <c r="P37" i="376" s="1"/>
  <c r="AJ36" i="376"/>
  <c r="T36" i="376"/>
  <c r="S36" i="376"/>
  <c r="R36" i="376"/>
  <c r="G36" i="376"/>
  <c r="Q36" i="376" s="1"/>
  <c r="B36" i="376"/>
  <c r="P36" i="376" s="1"/>
  <c r="AJ35" i="376"/>
  <c r="T35" i="376"/>
  <c r="S35" i="376"/>
  <c r="R35" i="376"/>
  <c r="G35" i="376"/>
  <c r="Q35" i="376" s="1"/>
  <c r="B35" i="376"/>
  <c r="P35" i="376" s="1"/>
  <c r="AJ34" i="376"/>
  <c r="T34" i="376"/>
  <c r="S34" i="376"/>
  <c r="R34" i="376"/>
  <c r="G34" i="376"/>
  <c r="Q34" i="376" s="1"/>
  <c r="B34" i="376"/>
  <c r="P34" i="376" s="1"/>
  <c r="AJ33" i="376"/>
  <c r="T33" i="376"/>
  <c r="S33" i="376"/>
  <c r="R33" i="376"/>
  <c r="G33" i="376"/>
  <c r="Q33" i="376" s="1"/>
  <c r="B33" i="376"/>
  <c r="P33" i="376" s="1"/>
  <c r="AJ32" i="376"/>
  <c r="T32" i="376"/>
  <c r="S32" i="376"/>
  <c r="R32" i="376"/>
  <c r="G32" i="376"/>
  <c r="Q32" i="376" s="1"/>
  <c r="B32" i="376"/>
  <c r="P32" i="376" s="1"/>
  <c r="AJ31" i="376"/>
  <c r="T31" i="376"/>
  <c r="S31" i="376"/>
  <c r="R31" i="376"/>
  <c r="G31" i="376"/>
  <c r="Q31" i="376" s="1"/>
  <c r="B31" i="376"/>
  <c r="P31" i="376" s="1"/>
  <c r="AJ30" i="376"/>
  <c r="T30" i="376"/>
  <c r="S30" i="376"/>
  <c r="R30" i="376"/>
  <c r="G30" i="376"/>
  <c r="Q30" i="376" s="1"/>
  <c r="B30" i="376"/>
  <c r="P30" i="376" s="1"/>
  <c r="AJ29" i="376"/>
  <c r="T29" i="376"/>
  <c r="S29" i="376"/>
  <c r="R29" i="376"/>
  <c r="G29" i="376"/>
  <c r="Q29" i="376" s="1"/>
  <c r="B29" i="376"/>
  <c r="P29" i="376" s="1"/>
  <c r="AJ28" i="376"/>
  <c r="T28" i="376"/>
  <c r="S28" i="376"/>
  <c r="R28" i="376"/>
  <c r="G28" i="376"/>
  <c r="Q28" i="376" s="1"/>
  <c r="B28" i="376"/>
  <c r="P28" i="376" s="1"/>
  <c r="AJ27" i="376"/>
  <c r="T27" i="376"/>
  <c r="S27" i="376"/>
  <c r="R27" i="376"/>
  <c r="G27" i="376"/>
  <c r="Q27" i="376" s="1"/>
  <c r="B27" i="376"/>
  <c r="P27" i="376" s="1"/>
  <c r="AJ26" i="376"/>
  <c r="T26" i="376"/>
  <c r="S26" i="376"/>
  <c r="R26" i="376"/>
  <c r="G26" i="376"/>
  <c r="Q26" i="376" s="1"/>
  <c r="B26" i="376"/>
  <c r="P26" i="376" s="1"/>
  <c r="AJ25" i="376"/>
  <c r="T25" i="376"/>
  <c r="S25" i="376"/>
  <c r="R25" i="376"/>
  <c r="G25" i="376"/>
  <c r="Q25" i="376" s="1"/>
  <c r="B25" i="376"/>
  <c r="P25" i="376" s="1"/>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G20" i="376"/>
  <c r="Q20" i="376" s="1"/>
  <c r="B20" i="376"/>
  <c r="P20" i="376" s="1"/>
  <c r="AJ19" i="376"/>
  <c r="T19" i="376"/>
  <c r="S19" i="376"/>
  <c r="R19" i="376"/>
  <c r="G19" i="376"/>
  <c r="Q19" i="376" s="1"/>
  <c r="B19" i="376"/>
  <c r="P19" i="376" s="1"/>
  <c r="AJ46" i="376"/>
  <c r="T46" i="376"/>
  <c r="S46" i="376"/>
  <c r="R46" i="376"/>
  <c r="G46" i="376"/>
  <c r="Q46" i="376" s="1"/>
  <c r="B46" i="376"/>
  <c r="P46" i="376" s="1"/>
  <c r="AJ45" i="376"/>
  <c r="T45" i="376"/>
  <c r="S45" i="376"/>
  <c r="R45" i="376"/>
  <c r="G45" i="376"/>
  <c r="Q45" i="376" s="1"/>
  <c r="B45" i="376"/>
  <c r="P45"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1" i="174" s="1"/>
  <c r="W721" i="174" s="1"/>
  <c r="W720" i="174"/>
  <c r="R715" i="174"/>
  <c r="C713" i="174" s="1"/>
  <c r="W713" i="174" s="1"/>
  <c r="W711" i="174"/>
  <c r="R706" i="174"/>
  <c r="C704" i="174" s="1"/>
  <c r="W704" i="174" s="1"/>
  <c r="W702" i="174"/>
  <c r="R697" i="174"/>
  <c r="C695" i="174" s="1"/>
  <c r="W695" i="174" s="1"/>
  <c r="W693" i="174"/>
  <c r="R688" i="174"/>
  <c r="C685" i="174" s="1"/>
  <c r="W685" i="174" s="1"/>
  <c r="W684" i="174"/>
  <c r="R679" i="174"/>
  <c r="C676" i="174" s="1"/>
  <c r="W676" i="174" s="1"/>
  <c r="W675" i="174"/>
  <c r="R634" i="174"/>
  <c r="C632" i="174" s="1"/>
  <c r="W632" i="174" s="1"/>
  <c r="W631" i="174"/>
  <c r="W630" i="174"/>
  <c r="AM78" i="25"/>
  <c r="AM74" i="25"/>
  <c r="AM75" i="25"/>
  <c r="AM77" i="25"/>
  <c r="AM76" i="25"/>
  <c r="AM73" i="25"/>
  <c r="C722" i="174" l="1"/>
  <c r="W722" i="174" s="1"/>
  <c r="C686" i="174"/>
  <c r="W686" i="174" s="1"/>
  <c r="C712" i="174"/>
  <c r="W712" i="174" s="1"/>
  <c r="C694" i="174"/>
  <c r="W694" i="174" s="1"/>
  <c r="C703" i="174"/>
  <c r="W703" i="174" s="1"/>
  <c r="C677" i="174"/>
  <c r="W677" i="174" s="1"/>
  <c r="J83" i="367" l="1"/>
  <c r="J80" i="367"/>
  <c r="J77" i="367"/>
  <c r="T74" i="367"/>
  <c r="E74" i="367"/>
  <c r="W72" i="367"/>
  <c r="C71" i="367"/>
  <c r="W71" i="367" s="1"/>
  <c r="W70" i="367"/>
  <c r="C100" i="177"/>
  <c r="T103" i="177"/>
  <c r="C101" i="177"/>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4" i="369"/>
  <c r="T14" i="369"/>
  <c r="S14" i="369"/>
  <c r="R14" i="369"/>
  <c r="G14" i="369"/>
  <c r="Q14" i="369" s="1"/>
  <c r="B14" i="369"/>
  <c r="P14" i="369" s="1"/>
  <c r="AJ13" i="369"/>
  <c r="T13" i="369"/>
  <c r="S13" i="369"/>
  <c r="R13" i="369"/>
  <c r="G13" i="369"/>
  <c r="Q13" i="369" s="1"/>
  <c r="B13" i="369"/>
  <c r="P13" i="369" s="1"/>
  <c r="AJ19" i="191"/>
  <c r="T19" i="191"/>
  <c r="S19" i="191"/>
  <c r="R19" i="191"/>
  <c r="G19" i="191"/>
  <c r="Q19" i="191" s="1"/>
  <c r="B19" i="191"/>
  <c r="P19" i="191" s="1"/>
  <c r="AJ18" i="191"/>
  <c r="T18" i="191"/>
  <c r="S18" i="191"/>
  <c r="R18" i="191"/>
  <c r="G18" i="191"/>
  <c r="Q18" i="191" s="1"/>
  <c r="B18" i="191"/>
  <c r="P18" i="191" s="1"/>
  <c r="AJ16" i="363"/>
  <c r="T16" i="363"/>
  <c r="S16" i="363"/>
  <c r="R16" i="363"/>
  <c r="G16" i="363"/>
  <c r="Q16" i="363" s="1"/>
  <c r="B16" i="363"/>
  <c r="P16" i="363" s="1"/>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O206" i="25"/>
  <c r="A206" i="25"/>
  <c r="B205" i="25"/>
  <c r="O205" i="25" s="1"/>
  <c r="A205" i="25"/>
  <c r="AM205" i="25"/>
  <c r="BK205" i="25" l="1"/>
  <c r="BK206" i="25"/>
  <c r="J31" i="367"/>
  <c r="J28" i="367"/>
  <c r="J16" i="367"/>
  <c r="J13" i="367"/>
  <c r="T7" i="367"/>
  <c r="T25" i="367"/>
  <c r="T40" i="367"/>
  <c r="J65" i="367"/>
  <c r="J62" i="367"/>
  <c r="J59" i="367"/>
  <c r="E56" i="367"/>
  <c r="E53" i="367"/>
  <c r="E46" i="367"/>
  <c r="E43" i="367"/>
  <c r="E40" i="367"/>
  <c r="E25" i="367"/>
  <c r="E10" i="367"/>
  <c r="E7" i="367"/>
  <c r="T7" i="178"/>
  <c r="T19" i="178"/>
  <c r="T43" i="178"/>
  <c r="T55" i="178"/>
  <c r="T67" i="178"/>
  <c r="T79" i="178"/>
  <c r="T91" i="178"/>
  <c r="T175" i="178"/>
  <c r="T187" i="178"/>
  <c r="T199" i="178"/>
  <c r="T211" i="178"/>
  <c r="T223" i="178"/>
  <c r="T235" i="178"/>
  <c r="T247" i="178"/>
  <c r="T259" i="178"/>
  <c r="T271" i="178"/>
  <c r="T283" i="178"/>
  <c r="T295" i="178"/>
  <c r="T307" i="178"/>
  <c r="T319" i="178"/>
  <c r="T331" i="178"/>
  <c r="T343" i="178"/>
  <c r="T355" i="178"/>
  <c r="T367" i="178"/>
  <c r="T379" i="178"/>
  <c r="T391" i="178"/>
  <c r="T403" i="178"/>
  <c r="T415" i="178"/>
  <c r="T427" i="178"/>
  <c r="T439" i="178"/>
  <c r="T31" i="178"/>
  <c r="R415" i="178"/>
  <c r="E34" i="178"/>
  <c r="E31" i="178"/>
  <c r="E442" i="178"/>
  <c r="E439" i="178"/>
  <c r="E430" i="178"/>
  <c r="E427" i="178"/>
  <c r="E418" i="178"/>
  <c r="E415" i="178"/>
  <c r="E406" i="178"/>
  <c r="E403" i="178"/>
  <c r="E394" i="178"/>
  <c r="E391" i="178"/>
  <c r="E382" i="178"/>
  <c r="E379"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94" i="178"/>
  <c r="E91" i="178"/>
  <c r="E82" i="178"/>
  <c r="E79" i="178"/>
  <c r="E70" i="178"/>
  <c r="E67" i="178"/>
  <c r="E58" i="178"/>
  <c r="E55" i="178"/>
  <c r="E46" i="178"/>
  <c r="E43"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O207" i="25"/>
  <c r="A207" i="25"/>
  <c r="B204" i="25"/>
  <c r="O204" i="25" s="1"/>
  <c r="A204" i="25"/>
  <c r="B203" i="25"/>
  <c r="A203"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206" i="25"/>
  <c r="AM207" i="25"/>
  <c r="AM161" i="25"/>
  <c r="AM204" i="25"/>
  <c r="AM160" i="25"/>
  <c r="AM203" i="25"/>
  <c r="O203" i="25" l="1"/>
  <c r="BK203" i="25" s="1"/>
  <c r="BK204" i="25"/>
  <c r="BK207" i="25"/>
  <c r="AJ17" i="190"/>
  <c r="C5" i="177"/>
  <c r="J7" i="177"/>
  <c r="E10" i="177"/>
  <c r="AJ14" i="190"/>
  <c r="T14" i="190"/>
  <c r="S14" i="190"/>
  <c r="R14" i="190"/>
  <c r="G14" i="190"/>
  <c r="Q14" i="190" s="1"/>
  <c r="B14" i="190"/>
  <c r="P14" i="190" s="1"/>
  <c r="R31" i="178" l="1"/>
  <c r="C29" i="178" s="1"/>
  <c r="W29" i="178" s="1"/>
  <c r="W27" i="178"/>
  <c r="D9" i="362"/>
  <c r="AJ59" i="362"/>
  <c r="T59" i="362"/>
  <c r="S59" i="362"/>
  <c r="R59" i="362"/>
  <c r="G59" i="362"/>
  <c r="Q59" i="362" s="1"/>
  <c r="B59" i="362"/>
  <c r="P59" i="362" s="1"/>
  <c r="AJ58" i="362"/>
  <c r="T58" i="362"/>
  <c r="S58" i="362"/>
  <c r="R58" i="362"/>
  <c r="G58" i="362"/>
  <c r="Q58" i="362" s="1"/>
  <c r="B58" i="362"/>
  <c r="P58" i="362" s="1"/>
  <c r="AJ57" i="362"/>
  <c r="T57" i="362"/>
  <c r="S57" i="362"/>
  <c r="R57" i="362"/>
  <c r="G57" i="362"/>
  <c r="Q57" i="362" s="1"/>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G53" i="362"/>
  <c r="Q53" i="362" s="1"/>
  <c r="B53" i="362"/>
  <c r="P53" i="362" s="1"/>
  <c r="AJ52" i="362"/>
  <c r="T52" i="362"/>
  <c r="S52" i="362"/>
  <c r="R52" i="362"/>
  <c r="G52" i="362"/>
  <c r="Q52" i="362" s="1"/>
  <c r="B52" i="362"/>
  <c r="P52" i="362" s="1"/>
  <c r="AJ51" i="362"/>
  <c r="T51" i="362"/>
  <c r="S51" i="362"/>
  <c r="R51" i="362"/>
  <c r="G51" i="362"/>
  <c r="Q51" i="362" s="1"/>
  <c r="B51" i="362"/>
  <c r="P51" i="362" s="1"/>
  <c r="AJ50" i="362"/>
  <c r="T50" i="362"/>
  <c r="S50" i="362"/>
  <c r="R50" i="362"/>
  <c r="G50" i="362"/>
  <c r="Q50" i="362" s="1"/>
  <c r="B50" i="362"/>
  <c r="P50" i="362" s="1"/>
  <c r="AJ49" i="362"/>
  <c r="T49" i="362"/>
  <c r="S49" i="362"/>
  <c r="R49" i="362"/>
  <c r="G49" i="362"/>
  <c r="Q49" i="362" s="1"/>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G45" i="362"/>
  <c r="Q45" i="362" s="1"/>
  <c r="B45" i="362"/>
  <c r="P45" i="362" s="1"/>
  <c r="AJ44" i="362"/>
  <c r="T44" i="362"/>
  <c r="S44" i="362"/>
  <c r="R44" i="362"/>
  <c r="G44" i="362"/>
  <c r="Q44" i="362" s="1"/>
  <c r="B44" i="362"/>
  <c r="P44" i="362" s="1"/>
  <c r="AJ43" i="362"/>
  <c r="T43" i="362"/>
  <c r="S43" i="362"/>
  <c r="R43" i="362"/>
  <c r="G43" i="362"/>
  <c r="Q43" i="362" s="1"/>
  <c r="B43" i="362"/>
  <c r="P43" i="362" s="1"/>
  <c r="AJ42" i="362"/>
  <c r="T42" i="362"/>
  <c r="S42" i="362"/>
  <c r="R42" i="362"/>
  <c r="G42" i="362"/>
  <c r="Q42" i="362" s="1"/>
  <c r="B42" i="362"/>
  <c r="P42" i="362" s="1"/>
  <c r="AJ41" i="362"/>
  <c r="T41" i="362"/>
  <c r="S41" i="362"/>
  <c r="R41" i="362"/>
  <c r="G41" i="362"/>
  <c r="Q41" i="362" s="1"/>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G37" i="362"/>
  <c r="Q37" i="362" s="1"/>
  <c r="B37" i="362"/>
  <c r="P37" i="362" s="1"/>
  <c r="AJ36" i="362"/>
  <c r="T36" i="362"/>
  <c r="S36" i="362"/>
  <c r="R36" i="362"/>
  <c r="G36" i="362"/>
  <c r="Q36" i="362" s="1"/>
  <c r="B36" i="362"/>
  <c r="P36" i="362" s="1"/>
  <c r="AJ35" i="362"/>
  <c r="T35" i="362"/>
  <c r="S35" i="362"/>
  <c r="R35" i="362"/>
  <c r="G35" i="362"/>
  <c r="Q35" i="362" s="1"/>
  <c r="B35" i="362"/>
  <c r="P35" i="362" s="1"/>
  <c r="AJ34" i="362"/>
  <c r="T34" i="362"/>
  <c r="S34" i="362"/>
  <c r="R34" i="362"/>
  <c r="G34" i="362"/>
  <c r="Q34" i="362" s="1"/>
  <c r="B34" i="362"/>
  <c r="P34" i="362" s="1"/>
  <c r="AJ33" i="362"/>
  <c r="T33" i="362"/>
  <c r="S33" i="362"/>
  <c r="R33" i="362"/>
  <c r="G33" i="362"/>
  <c r="Q33" i="362" s="1"/>
  <c r="B33" i="362"/>
  <c r="P33" i="362" s="1"/>
  <c r="AJ32" i="362"/>
  <c r="T32" i="362"/>
  <c r="S32" i="362"/>
  <c r="R32" i="362"/>
  <c r="G32" i="362"/>
  <c r="Q32" i="362" s="1"/>
  <c r="B32" i="362"/>
  <c r="P32" i="362" s="1"/>
  <c r="AJ31" i="362"/>
  <c r="T31" i="362"/>
  <c r="S31" i="362"/>
  <c r="R31" i="362"/>
  <c r="G31" i="362"/>
  <c r="Q31" i="362" s="1"/>
  <c r="B31" i="362"/>
  <c r="P31" i="362" s="1"/>
  <c r="AJ30" i="362"/>
  <c r="T30" i="362"/>
  <c r="S30" i="362"/>
  <c r="R30" i="362"/>
  <c r="G30" i="362"/>
  <c r="Q30" i="362" s="1"/>
  <c r="B30" i="362"/>
  <c r="P30" i="362" s="1"/>
  <c r="AJ29" i="362"/>
  <c r="T29" i="362"/>
  <c r="S29" i="362"/>
  <c r="R29" i="362"/>
  <c r="G29" i="362"/>
  <c r="Q29" i="362" s="1"/>
  <c r="B29" i="362"/>
  <c r="P29" i="362" s="1"/>
  <c r="AJ28" i="362"/>
  <c r="T28" i="362"/>
  <c r="S28" i="362"/>
  <c r="R28" i="362"/>
  <c r="G28" i="362"/>
  <c r="Q28" i="362" s="1"/>
  <c r="B28" i="362"/>
  <c r="P28" i="362" s="1"/>
  <c r="AJ27" i="362"/>
  <c r="T27" i="362"/>
  <c r="S27" i="362"/>
  <c r="R27" i="362"/>
  <c r="G27" i="362"/>
  <c r="Q27" i="362" s="1"/>
  <c r="B27" i="362"/>
  <c r="P27" i="362" s="1"/>
  <c r="AJ26" i="362"/>
  <c r="T26" i="362"/>
  <c r="S26" i="362"/>
  <c r="R26" i="362"/>
  <c r="G26" i="362"/>
  <c r="Q26" i="362" s="1"/>
  <c r="B26" i="362"/>
  <c r="P26" i="362" s="1"/>
  <c r="AJ25" i="362"/>
  <c r="T25" i="362"/>
  <c r="S25" i="362"/>
  <c r="R25" i="362"/>
  <c r="G25" i="362"/>
  <c r="Q25" i="362" s="1"/>
  <c r="B25" i="362"/>
  <c r="P25" i="362" s="1"/>
  <c r="AJ24" i="362"/>
  <c r="T24" i="362"/>
  <c r="S24" i="362"/>
  <c r="R24" i="362"/>
  <c r="G24" i="362"/>
  <c r="Q24" i="362" s="1"/>
  <c r="B24" i="362"/>
  <c r="P24" i="362" s="1"/>
  <c r="AJ23" i="362"/>
  <c r="T23" i="362"/>
  <c r="S23" i="362"/>
  <c r="R23" i="362"/>
  <c r="G23" i="362"/>
  <c r="Q23" i="362" s="1"/>
  <c r="B23" i="362"/>
  <c r="P23" i="362" s="1"/>
  <c r="AJ22" i="362"/>
  <c r="T22" i="362"/>
  <c r="S22" i="362"/>
  <c r="R22" i="362"/>
  <c r="G22" i="362"/>
  <c r="Q22" i="362" s="1"/>
  <c r="B22" i="362"/>
  <c r="P22" i="362" s="1"/>
  <c r="AJ21" i="362"/>
  <c r="T21" i="362"/>
  <c r="S21" i="362"/>
  <c r="R21" i="362"/>
  <c r="G21" i="362"/>
  <c r="Q21" i="362" s="1"/>
  <c r="B21" i="362"/>
  <c r="P21"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G17" i="362"/>
  <c r="R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B168" i="25"/>
  <c r="BK168" i="25" s="1"/>
  <c r="A168" i="25"/>
  <c r="AM168" i="25"/>
  <c r="Q17" i="362" l="1"/>
  <c r="C28" i="178"/>
  <c r="W28"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C5" i="176" l="1"/>
  <c r="C4" i="176"/>
  <c r="AJ15" i="189"/>
  <c r="T15" i="189"/>
  <c r="S15" i="189"/>
  <c r="R15" i="189"/>
  <c r="G15" i="189"/>
  <c r="Q15" i="189" s="1"/>
  <c r="B15" i="189"/>
  <c r="P15" i="189" s="1"/>
  <c r="AJ14" i="189"/>
  <c r="T14" i="189"/>
  <c r="S14" i="189"/>
  <c r="R14" i="189"/>
  <c r="G14" i="189"/>
  <c r="Q14" i="189" s="1"/>
  <c r="B14" i="189"/>
  <c r="P14" i="189" s="1"/>
  <c r="AJ17" i="188"/>
  <c r="T17" i="188"/>
  <c r="S17" i="188"/>
  <c r="R17" i="188"/>
  <c r="G17" i="188"/>
  <c r="Q17" i="188" s="1"/>
  <c r="B17" i="188"/>
  <c r="P17" i="188" s="1"/>
  <c r="AJ16" i="188"/>
  <c r="T16" i="188"/>
  <c r="S16" i="188"/>
  <c r="R16" i="188"/>
  <c r="G16" i="188"/>
  <c r="Q16" i="188" s="1"/>
  <c r="B16" i="188"/>
  <c r="P16" i="188" s="1"/>
  <c r="AJ15" i="188"/>
  <c r="T15" i="188"/>
  <c r="S15" i="188"/>
  <c r="R15" i="188"/>
  <c r="G15" i="188"/>
  <c r="Q15" i="188" s="1"/>
  <c r="B15" i="188"/>
  <c r="P15" i="188" s="1"/>
  <c r="AJ14" i="359" l="1"/>
  <c r="T14" i="359"/>
  <c r="S14" i="359"/>
  <c r="R14" i="359"/>
  <c r="G14" i="359"/>
  <c r="Q14" i="359" s="1"/>
  <c r="B14" i="359"/>
  <c r="P14" i="359" s="1"/>
  <c r="AJ13" i="359"/>
  <c r="T13" i="359"/>
  <c r="S13" i="359"/>
  <c r="R13" i="359"/>
  <c r="G13" i="359"/>
  <c r="Q13" i="359" s="1"/>
  <c r="B13" i="359"/>
  <c r="P13" i="359" s="1"/>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6" i="25"/>
  <c r="AM155" i="25"/>
  <c r="R439" i="178" l="1"/>
  <c r="C437" i="178" s="1"/>
  <c r="W437" i="178" s="1"/>
  <c r="W435" i="178"/>
  <c r="R427" i="178"/>
  <c r="C425" i="178" s="1"/>
  <c r="W425" i="178" s="1"/>
  <c r="W423" i="178"/>
  <c r="C413" i="178"/>
  <c r="W413" i="178" s="1"/>
  <c r="W411" i="178"/>
  <c r="R403" i="178"/>
  <c r="C401" i="178" s="1"/>
  <c r="W401" i="178" s="1"/>
  <c r="W399" i="178"/>
  <c r="R391" i="178"/>
  <c r="C389" i="178" s="1"/>
  <c r="W389" i="178" s="1"/>
  <c r="W387" i="178"/>
  <c r="R379" i="178"/>
  <c r="C377" i="178" s="1"/>
  <c r="W377" i="178" s="1"/>
  <c r="W375" i="178"/>
  <c r="R367" i="178"/>
  <c r="C365" i="178" s="1"/>
  <c r="W365" i="178" s="1"/>
  <c r="W363" i="178"/>
  <c r="C400" i="178" l="1"/>
  <c r="W400" i="178" s="1"/>
  <c r="C424" i="178"/>
  <c r="W424"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6" i="178" s="1"/>
  <c r="W16" i="178" s="1"/>
  <c r="W15" i="178"/>
  <c r="R7" i="178"/>
  <c r="C4" i="178" s="1"/>
  <c r="W4" i="178" s="1"/>
  <c r="W3" i="178"/>
  <c r="C52" i="178" l="1"/>
  <c r="W52" i="178" s="1"/>
  <c r="C268" i="178"/>
  <c r="W268" i="178" s="1"/>
  <c r="C292" i="178"/>
  <c r="W292" i="178" s="1"/>
  <c r="C184" i="178"/>
  <c r="W184" i="178" s="1"/>
  <c r="C17" i="178"/>
  <c r="W17" i="178" s="1"/>
  <c r="C40" i="178"/>
  <c r="W40" i="178" s="1"/>
  <c r="C316" i="178"/>
  <c r="W316"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201" i="25"/>
  <c r="BK201" i="25" s="1"/>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7" i="25"/>
  <c r="BK167" i="25" s="1"/>
  <c r="A167" i="25"/>
  <c r="AM188" i="25"/>
  <c r="AM184" i="25"/>
  <c r="AM199" i="25"/>
  <c r="AM187" i="25"/>
  <c r="AM193" i="25"/>
  <c r="AM170" i="25"/>
  <c r="AM189" i="25"/>
  <c r="AM186" i="25"/>
  <c r="AM196" i="25"/>
  <c r="AM181" i="25"/>
  <c r="AM167" i="25"/>
  <c r="AM180" i="25"/>
  <c r="AM201" i="25"/>
  <c r="AM192" i="25"/>
  <c r="AM198" i="25"/>
  <c r="AM185" i="25"/>
  <c r="AM171" i="25"/>
  <c r="AM194" i="25"/>
  <c r="AM190" i="25"/>
  <c r="AM200" i="25"/>
  <c r="AM172" i="25"/>
  <c r="AM173" i="25"/>
  <c r="AM182" i="25"/>
  <c r="AM195" i="25"/>
  <c r="AM191" i="25"/>
  <c r="AM197" i="25"/>
  <c r="AM169" i="25"/>
  <c r="AM183" i="25"/>
  <c r="Q17" i="342" l="1"/>
  <c r="Q22" i="352"/>
  <c r="Q17" i="339"/>
  <c r="Q17" i="346"/>
  <c r="Q23" i="352"/>
  <c r="Q17" i="347"/>
  <c r="Q22" i="346"/>
  <c r="Q17" i="345"/>
  <c r="Q17" i="344"/>
  <c r="Q17" i="343"/>
  <c r="Q17" i="341"/>
  <c r="Q17" i="340"/>
  <c r="Q17" i="338"/>
  <c r="R17" i="337"/>
  <c r="Q17" i="336"/>
  <c r="Q17" i="335"/>
  <c r="R17" i="334"/>
  <c r="Q17" i="333"/>
  <c r="B165" i="25"/>
  <c r="A165"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7" i="25"/>
  <c r="AM6" i="25"/>
  <c r="AM165" i="25"/>
  <c r="BK165" i="25" l="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4" i="25"/>
  <c r="AM50" i="25"/>
  <c r="AM53" i="25"/>
  <c r="AM40" i="25"/>
  <c r="AM55" i="25"/>
  <c r="AM47" i="25"/>
  <c r="AM42" i="25"/>
  <c r="AM45" i="25"/>
  <c r="AM51" i="25"/>
  <c r="AM43" i="25"/>
  <c r="AM38" i="25"/>
  <c r="AM46" i="25"/>
  <c r="AM37" i="25"/>
  <c r="AM36" i="25"/>
  <c r="AM54" i="25"/>
  <c r="AM52" i="25"/>
  <c r="AM41" i="25"/>
  <c r="AM39" i="25"/>
  <c r="AM48" i="25"/>
  <c r="AM49" i="25"/>
  <c r="Q23" i="309" l="1"/>
  <c r="Q22" i="309"/>
  <c r="BK96" i="25"/>
  <c r="A96" i="25"/>
  <c r="O224"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Q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R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R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57" i="25"/>
  <c r="AM71" i="25"/>
  <c r="AM80" i="25"/>
  <c r="AM85" i="25"/>
  <c r="AM35" i="25"/>
  <c r="AM66" i="25"/>
  <c r="AM28" i="25"/>
  <c r="AM61" i="25"/>
  <c r="AM88" i="25"/>
  <c r="AM72" i="25"/>
  <c r="AM92" i="25"/>
  <c r="AM33" i="25"/>
  <c r="AM58" i="25"/>
  <c r="AM63" i="25"/>
  <c r="AM87" i="25"/>
  <c r="AM99" i="25"/>
  <c r="AM32" i="25"/>
  <c r="AM29" i="25"/>
  <c r="AM26" i="25"/>
  <c r="AM82" i="25"/>
  <c r="AM97" i="25"/>
  <c r="AM94" i="25"/>
  <c r="AM89" i="25"/>
  <c r="AM104" i="25"/>
  <c r="AM22" i="25"/>
  <c r="AM79" i="25"/>
  <c r="AM34" i="25"/>
  <c r="AM86" i="25"/>
  <c r="AM69" i="25"/>
  <c r="AM84" i="25"/>
  <c r="AM68" i="25"/>
  <c r="AM100" i="25"/>
  <c r="AM31" i="25"/>
  <c r="AM93" i="25"/>
  <c r="AM21" i="25"/>
  <c r="AM91" i="25"/>
  <c r="AM98" i="25"/>
  <c r="AM83" i="25"/>
  <c r="AM65" i="25"/>
  <c r="AM25" i="25"/>
  <c r="AM60" i="25"/>
  <c r="AM90" i="25"/>
  <c r="AM102" i="25"/>
  <c r="AM64" i="25"/>
  <c r="AM20" i="25"/>
  <c r="AM27" i="25"/>
  <c r="AM24" i="25"/>
  <c r="AM59" i="25"/>
  <c r="AM103" i="25"/>
  <c r="AM56" i="25"/>
  <c r="AM95" i="25"/>
  <c r="AM62" i="25"/>
  <c r="AM101" i="25"/>
  <c r="AM23" i="25"/>
  <c r="AM81" i="25"/>
  <c r="AM67" i="25"/>
  <c r="R23" i="249" l="1"/>
  <c r="R16" i="265"/>
  <c r="R17" i="275"/>
  <c r="R20" i="263"/>
  <c r="R21" i="249"/>
  <c r="R19" i="249"/>
  <c r="R22" i="263"/>
  <c r="Q31" i="267"/>
  <c r="R22" i="249"/>
  <c r="R21" i="263"/>
  <c r="R15" i="265"/>
  <c r="R18" i="249"/>
  <c r="Q24" i="267"/>
  <c r="R20" i="249"/>
  <c r="R13" i="251"/>
  <c r="R13" i="252"/>
  <c r="R14" i="265"/>
  <c r="Q18" i="267"/>
  <c r="R17" i="249"/>
  <c r="Q28" i="277"/>
  <c r="R15" i="249"/>
  <c r="Q25" i="249"/>
  <c r="R26" i="249"/>
  <c r="R16" i="264"/>
  <c r="R17" i="274"/>
  <c r="Q27" i="276"/>
  <c r="Q17" i="238"/>
  <c r="R14" i="249"/>
  <c r="R20" i="274"/>
  <c r="Q24" i="276"/>
  <c r="R29" i="277"/>
  <c r="R24" i="249"/>
  <c r="Q24" i="271"/>
  <c r="R19" i="274"/>
  <c r="R16" i="249"/>
  <c r="R17" i="264"/>
  <c r="Q23" i="271"/>
  <c r="R18" i="27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6" i="25"/>
  <c r="AM17"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10" i="25"/>
  <c r="AM12" i="25"/>
  <c r="AM9" i="25"/>
  <c r="AM11"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1" i="25"/>
  <c r="AM150" i="25"/>
  <c r="AM149" i="25"/>
  <c r="R22" i="230" l="1"/>
  <c r="R17" i="229"/>
  <c r="Q17" i="234"/>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R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23" i="25"/>
  <c r="AM140" i="25"/>
  <c r="AM139" i="25"/>
  <c r="AM113" i="25"/>
  <c r="AM135" i="25"/>
  <c r="AM146" i="25"/>
  <c r="AM141" i="25"/>
  <c r="AM119" i="25"/>
  <c r="AM118" i="25"/>
  <c r="AM122" i="25"/>
  <c r="AM134" i="25"/>
  <c r="AM133" i="25"/>
  <c r="AM116" i="25"/>
  <c r="AM120" i="25"/>
  <c r="AM131" i="25"/>
  <c r="AM129" i="25"/>
  <c r="AM121" i="25"/>
  <c r="AM126" i="25"/>
  <c r="AM117" i="25"/>
  <c r="AM128" i="25"/>
  <c r="AM124" i="25"/>
  <c r="AM148" i="25"/>
  <c r="AM114" i="25"/>
  <c r="AM136" i="25"/>
  <c r="AM125" i="25"/>
  <c r="AM115" i="25"/>
  <c r="AM152" i="25"/>
  <c r="AM142" i="25"/>
  <c r="AM137" i="25"/>
  <c r="AM145" i="25"/>
  <c r="AM132" i="25"/>
  <c r="AM138" i="25"/>
  <c r="AM144" i="25"/>
  <c r="AM147" i="25"/>
  <c r="AM143" i="25"/>
  <c r="AM127" i="25"/>
  <c r="AM130" i="25"/>
  <c r="Q18" i="203" l="1"/>
  <c r="R20" i="207"/>
  <c r="R20" i="197"/>
  <c r="R20" i="202"/>
  <c r="R17" i="215"/>
  <c r="R21" i="205"/>
  <c r="R21" i="197"/>
  <c r="Q18" i="204"/>
  <c r="R20" i="206"/>
  <c r="R22" i="205"/>
  <c r="R18" i="206"/>
  <c r="R18" i="197"/>
  <c r="Q18" i="198"/>
  <c r="R18" i="198"/>
  <c r="R20" i="205"/>
  <c r="Q18" i="207"/>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23" i="25"/>
  <c r="A223" i="25"/>
  <c r="B224" i="25"/>
  <c r="B222" i="25"/>
  <c r="O222" i="25" s="1"/>
  <c r="B202" i="25"/>
  <c r="B166" i="25"/>
  <c r="B157" i="25"/>
  <c r="O157" i="25" s="1"/>
  <c r="B153" i="25"/>
  <c r="O153" i="25" s="1"/>
  <c r="B112" i="25"/>
  <c r="B111" i="25"/>
  <c r="B110" i="25"/>
  <c r="B109" i="25"/>
  <c r="B108" i="25"/>
  <c r="AE223" i="25"/>
  <c r="AM158" i="25"/>
  <c r="AM106" i="25"/>
  <c r="AM154" i="25"/>
  <c r="AM223" i="25"/>
  <c r="O223" i="25" l="1"/>
  <c r="BK223" i="25" s="1"/>
  <c r="O158" i="25"/>
  <c r="BK158" i="25" s="1"/>
  <c r="O154" i="25"/>
  <c r="BK154" i="25" s="1"/>
  <c r="BK106" i="25"/>
  <c r="G18" i="188"/>
  <c r="Q18" i="188" s="1"/>
  <c r="B18" i="188"/>
  <c r="P18" i="188" s="1"/>
  <c r="G17" i="190"/>
  <c r="Q17" i="190" s="1"/>
  <c r="B17" i="190"/>
  <c r="P17"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Q17" i="192"/>
  <c r="R17" i="192"/>
  <c r="R23" i="194"/>
  <c r="Q23" i="194"/>
  <c r="R17" i="196"/>
  <c r="Q17" i="196"/>
  <c r="R17" i="195"/>
  <c r="Q17" i="195"/>
  <c r="R22" i="196"/>
  <c r="Q22" i="196"/>
  <c r="Q17" i="193"/>
  <c r="R17" i="193"/>
  <c r="R17" i="194"/>
  <c r="Q17" i="194"/>
  <c r="R22" i="195"/>
  <c r="Q22" i="195"/>
  <c r="R23" i="196"/>
  <c r="Q23" i="196"/>
  <c r="G13" i="19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17" i="185" l="1"/>
  <c r="R17" i="185"/>
  <c r="Q22" i="185"/>
  <c r="R22" i="185"/>
  <c r="R23" i="185"/>
  <c r="Q23" i="185"/>
  <c r="R23" i="187"/>
  <c r="Q23" i="187"/>
  <c r="R17" i="187"/>
  <c r="Q17" i="187"/>
  <c r="R22" i="187"/>
  <c r="Q22" i="187"/>
  <c r="R22" i="186"/>
  <c r="Q22" i="186"/>
  <c r="Q17" i="186"/>
  <c r="R17" i="186"/>
  <c r="R23" i="186"/>
  <c r="Q23" i="186"/>
  <c r="A224" i="25"/>
  <c r="A222" i="25"/>
  <c r="A202" i="25"/>
  <c r="A166" i="25"/>
  <c r="A157" i="25"/>
  <c r="A153" i="25"/>
  <c r="A112" i="25"/>
  <c r="A111" i="25"/>
  <c r="A110" i="25"/>
  <c r="A109" i="25"/>
  <c r="A108" i="25"/>
  <c r="AE222" i="25"/>
  <c r="AM222" i="25"/>
  <c r="AE224" i="25"/>
  <c r="AM224" i="25"/>
  <c r="BK222" i="25" l="1"/>
  <c r="BK224" i="25"/>
  <c r="AE203" i="25"/>
  <c r="AE204" i="25"/>
  <c r="AJ11" i="365" l="1"/>
  <c r="AJ10" i="365"/>
  <c r="AS10" i="365"/>
  <c r="N11" i="365"/>
  <c r="N10" i="365"/>
  <c r="AJ10" i="364"/>
  <c r="AJ11" i="364"/>
  <c r="AS10" i="364"/>
  <c r="N11" i="364"/>
  <c r="N10" i="364"/>
  <c r="G152" i="182"/>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Q17" i="179"/>
  <c r="R17" i="179"/>
  <c r="R24" i="182"/>
  <c r="Q24" i="182"/>
  <c r="R17" i="182"/>
  <c r="Q17" i="182"/>
  <c r="BK166" i="25"/>
  <c r="BK202"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12" i="25"/>
  <c r="AM202" i="25"/>
  <c r="AM107" i="25"/>
  <c r="AM166" i="25"/>
  <c r="AM157" i="25"/>
  <c r="AM153" i="25"/>
  <c r="AM111" i="25"/>
  <c r="BK111" i="25" l="1"/>
  <c r="BK108" i="25"/>
  <c r="BK112" i="25"/>
  <c r="R259" i="178"/>
  <c r="R247" i="178"/>
  <c r="R235" i="178"/>
  <c r="R223" i="178"/>
  <c r="R211" i="178"/>
  <c r="AM108" i="25"/>
  <c r="AM110" i="25"/>
  <c r="AM109" i="25"/>
  <c r="C221" i="178" l="1"/>
  <c r="W221" i="178" s="1"/>
  <c r="C220" i="178"/>
  <c r="W220" i="178" s="1"/>
  <c r="C233" i="178"/>
  <c r="W233" i="178" s="1"/>
  <c r="C232" i="178"/>
  <c r="W232" i="178" s="1"/>
  <c r="C245" i="178"/>
  <c r="W245" i="178" s="1"/>
  <c r="C244" i="178"/>
  <c r="W244" i="178" s="1"/>
  <c r="C209" i="178"/>
  <c r="W209" i="178" s="1"/>
  <c r="C208" i="178"/>
  <c r="W208" i="178" s="1"/>
  <c r="C257" i="178"/>
  <c r="W257" i="178" s="1"/>
  <c r="C256" i="178"/>
  <c r="W256" i="178" s="1"/>
  <c r="R1141" i="174"/>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5" i="408" l="1"/>
  <c r="D4" i="408"/>
  <c r="D6" i="408"/>
  <c r="D4" i="407"/>
  <c r="D6" i="407"/>
  <c r="D5" i="407"/>
  <c r="D5" i="406"/>
  <c r="D8" i="406" s="1"/>
  <c r="D4" i="406"/>
  <c r="D6" i="406"/>
  <c r="D5" i="405"/>
  <c r="D8" i="405" s="1"/>
  <c r="D6" i="405"/>
  <c r="D4" i="405"/>
  <c r="D5" i="403"/>
  <c r="D8" i="403" s="1"/>
  <c r="D6" i="403"/>
  <c r="D4" i="403"/>
  <c r="D5" i="402"/>
  <c r="D8" i="402" s="1"/>
  <c r="D4" i="402"/>
  <c r="D6" i="402"/>
  <c r="D4" i="401"/>
  <c r="D5" i="401"/>
  <c r="D8" i="401" s="1"/>
  <c r="D6" i="401"/>
  <c r="D6" i="400"/>
  <c r="D5" i="400"/>
  <c r="D8" i="400" s="1"/>
  <c r="D4" i="400"/>
  <c r="D5" i="398"/>
  <c r="D8" i="398" s="1"/>
  <c r="AS14" i="398" s="1"/>
  <c r="D6" i="399"/>
  <c r="D4" i="398"/>
  <c r="D5" i="399"/>
  <c r="D8" i="399" s="1"/>
  <c r="AS14" i="399" s="1"/>
  <c r="D4" i="397"/>
  <c r="D6" i="398"/>
  <c r="D5" i="396"/>
  <c r="D8" i="396" s="1"/>
  <c r="D4" i="399"/>
  <c r="D6" i="397"/>
  <c r="D4" i="396"/>
  <c r="D5" i="397"/>
  <c r="D8" i="397" s="1"/>
  <c r="D6" i="396"/>
  <c r="D6" i="395"/>
  <c r="D4" i="395"/>
  <c r="D5" i="395"/>
  <c r="D8" i="395" s="1"/>
  <c r="D5" i="394"/>
  <c r="D8" i="394" s="1"/>
  <c r="D4" i="394"/>
  <c r="D6" i="394"/>
  <c r="D5" i="393"/>
  <c r="D8" i="393" s="1"/>
  <c r="D4" i="393"/>
  <c r="D6" i="393"/>
  <c r="D6" i="392"/>
  <c r="D5" i="392"/>
  <c r="D8" i="392" s="1"/>
  <c r="D4" i="392"/>
  <c r="D4" i="391"/>
  <c r="D5" i="391"/>
  <c r="D8" i="391" s="1"/>
  <c r="AS14" i="391" s="1"/>
  <c r="D6" i="391"/>
  <c r="D5" i="389"/>
  <c r="D8" i="389" s="1"/>
  <c r="D4" i="389"/>
  <c r="D6" i="389"/>
  <c r="D4" i="384"/>
  <c r="D5" i="383"/>
  <c r="D8" i="383" s="1"/>
  <c r="D6" i="384"/>
  <c r="D5" i="387"/>
  <c r="D8" i="387" s="1"/>
  <c r="D5" i="384"/>
  <c r="D8" i="384" s="1"/>
  <c r="D4" i="383"/>
  <c r="D5" i="382"/>
  <c r="D8" i="382" s="1"/>
  <c r="D4" i="382"/>
  <c r="D6" i="387"/>
  <c r="D6" i="382"/>
  <c r="D4" i="385"/>
  <c r="D6" i="383"/>
  <c r="D4" i="386"/>
  <c r="D5" i="385"/>
  <c r="D8" i="385" s="1"/>
  <c r="D5" i="386"/>
  <c r="D8" i="386" s="1"/>
  <c r="D6" i="385"/>
  <c r="D4" i="387"/>
  <c r="D6" i="386"/>
  <c r="D5" i="369"/>
  <c r="D8" i="369" s="1"/>
  <c r="AS15"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29" i="25"/>
  <c r="AE94" i="25"/>
  <c r="AE174" i="25"/>
  <c r="AE58" i="25"/>
  <c r="AE172" i="25"/>
  <c r="AE78" i="25"/>
  <c r="AE157" i="25"/>
  <c r="AE93" i="25"/>
  <c r="AE60" i="25"/>
  <c r="AE219" i="25"/>
  <c r="AE113" i="25"/>
  <c r="AE197" i="25"/>
  <c r="AE51" i="25"/>
  <c r="AE193" i="25"/>
  <c r="AE181" i="25"/>
  <c r="AE47" i="25"/>
  <c r="AE63" i="25"/>
  <c r="AE16" i="25"/>
  <c r="AE187" i="25"/>
  <c r="AE141" i="25"/>
  <c r="AE70" i="25"/>
  <c r="AE65" i="25"/>
  <c r="AE40" i="25"/>
  <c r="AE95" i="25"/>
  <c r="AE209" i="25"/>
  <c r="AE19" i="25"/>
  <c r="AE147" i="25"/>
  <c r="AE176" i="25"/>
  <c r="AE43" i="25"/>
  <c r="AE191" i="25"/>
  <c r="AE36" i="25"/>
  <c r="AE146" i="25"/>
  <c r="AE170" i="25"/>
  <c r="AE41" i="25"/>
  <c r="AE200" i="25"/>
  <c r="AE140" i="25"/>
  <c r="AE150" i="25"/>
  <c r="AE82" i="25"/>
  <c r="AE122" i="25"/>
  <c r="AE190" i="25"/>
  <c r="AE106" i="25"/>
  <c r="AE142" i="25"/>
  <c r="AE156" i="25"/>
  <c r="AE32" i="25"/>
  <c r="AE171" i="25"/>
  <c r="AE99" i="25"/>
  <c r="AE166" i="25"/>
  <c r="AE163" i="25"/>
  <c r="AE206" i="25"/>
  <c r="AE127" i="25"/>
  <c r="AE17" i="25"/>
  <c r="AE162" i="25"/>
  <c r="AE159" i="25"/>
  <c r="AE198" i="25"/>
  <c r="AE71" i="25"/>
  <c r="AE207" i="25"/>
  <c r="AE165" i="25"/>
  <c r="AE135" i="25"/>
  <c r="AE143" i="25"/>
  <c r="AE167" i="25"/>
  <c r="AE76" i="25"/>
  <c r="AE211" i="25"/>
  <c r="AE88" i="25"/>
  <c r="AE61" i="25"/>
  <c r="AE67" i="25"/>
  <c r="AE144" i="25"/>
  <c r="AE189" i="25"/>
  <c r="AE121" i="25"/>
  <c r="AE137" i="25"/>
  <c r="AE151" i="25"/>
  <c r="AE212" i="25"/>
  <c r="AE15" i="25"/>
  <c r="AE7" i="25"/>
  <c r="AE49" i="25"/>
  <c r="AE133" i="25"/>
  <c r="AE111" i="25"/>
  <c r="AE177" i="25"/>
  <c r="AE6" i="25"/>
  <c r="AE83" i="25"/>
  <c r="AE154" i="25"/>
  <c r="AE192" i="25"/>
  <c r="AE35" i="25"/>
  <c r="AE194" i="25"/>
  <c r="AE125" i="25"/>
  <c r="AE69" i="25"/>
  <c r="AE42" i="25"/>
  <c r="AE218" i="25"/>
  <c r="AE128" i="25"/>
  <c r="AE186" i="25"/>
  <c r="AE91" i="25"/>
  <c r="AE107" i="25"/>
  <c r="AE90" i="25"/>
  <c r="AE160" i="25"/>
  <c r="AE104" i="25"/>
  <c r="AE74" i="25"/>
  <c r="AE179" i="25"/>
  <c r="AE66" i="25"/>
  <c r="AE98" i="25"/>
  <c r="AE183" i="25"/>
  <c r="AE153" i="25"/>
  <c r="AE134" i="25"/>
  <c r="AE210" i="25"/>
  <c r="AE52" i="25"/>
  <c r="AE64" i="25"/>
  <c r="AE72" i="25"/>
  <c r="AE102" i="25"/>
  <c r="AE152" i="25"/>
  <c r="AE118" i="25"/>
  <c r="AE18" i="25"/>
  <c r="AE117" i="25"/>
  <c r="AE114" i="25"/>
  <c r="AE8" i="25"/>
  <c r="AE149" i="25"/>
  <c r="AE130" i="25"/>
  <c r="AE22" i="25"/>
  <c r="AE201" i="25"/>
  <c r="AE145" i="25"/>
  <c r="AE23" i="25"/>
  <c r="AE73" i="25"/>
  <c r="AE213" i="25"/>
  <c r="AE161" i="25"/>
  <c r="AE173" i="25"/>
  <c r="AE77" i="25"/>
  <c r="AE80" i="25"/>
  <c r="AE138" i="25"/>
  <c r="AE25" i="25"/>
  <c r="AE205" i="25"/>
  <c r="AE38" i="25"/>
  <c r="AE54" i="25"/>
  <c r="AE139" i="25"/>
  <c r="AE119" i="25"/>
  <c r="AE132" i="25"/>
  <c r="AE44" i="25"/>
  <c r="AE34" i="25"/>
  <c r="AE24" i="25"/>
  <c r="AE168" i="25"/>
  <c r="AE55" i="25"/>
  <c r="AE199" i="25"/>
  <c r="AE185" i="25"/>
  <c r="AE13" i="25"/>
  <c r="AE9" i="25"/>
  <c r="AE57" i="25"/>
  <c r="AE48" i="25"/>
  <c r="AE89" i="25"/>
  <c r="AE148" i="25"/>
  <c r="AE33" i="25"/>
  <c r="AE217" i="25"/>
  <c r="AE87" i="25"/>
  <c r="AE28" i="25"/>
  <c r="AE37" i="25"/>
  <c r="AE92" i="25"/>
  <c r="AE11" i="25"/>
  <c r="AE56" i="25"/>
  <c r="AE164" i="25"/>
  <c r="AE195" i="25"/>
  <c r="AE100" i="25"/>
  <c r="AE120" i="25"/>
  <c r="AE62" i="25"/>
  <c r="AE53" i="25"/>
  <c r="AE27" i="25"/>
  <c r="AE81" i="25"/>
  <c r="AE214" i="25"/>
  <c r="AE188" i="25"/>
  <c r="AE131" i="25"/>
  <c r="AE216" i="25"/>
  <c r="AE123" i="25"/>
  <c r="AE178" i="25"/>
  <c r="AE10" i="25"/>
  <c r="AE202" i="25"/>
  <c r="AE126" i="25"/>
  <c r="AE112" i="25"/>
  <c r="AE50" i="25"/>
  <c r="AE21" i="25"/>
  <c r="AE97" i="25"/>
  <c r="AE175" i="25"/>
  <c r="AE115" i="25"/>
  <c r="AE20" i="25"/>
  <c r="AE196" i="25"/>
  <c r="AE14" i="25"/>
  <c r="AE169" i="25"/>
  <c r="AE103" i="25"/>
  <c r="AE12" i="25"/>
  <c r="AE124" i="25"/>
  <c r="AE46" i="25"/>
  <c r="AE26" i="25"/>
  <c r="AE180" i="25"/>
  <c r="AE208" i="25"/>
  <c r="AE79" i="25"/>
  <c r="AE68" i="25"/>
  <c r="AE158" i="25"/>
  <c r="AE96" i="25"/>
  <c r="AE45" i="25"/>
  <c r="AE136" i="25"/>
  <c r="AE85" i="25"/>
  <c r="AE39" i="25"/>
  <c r="AE86" i="25"/>
  <c r="AE184" i="25"/>
  <c r="AE31" i="25"/>
  <c r="AE29" i="25"/>
  <c r="AE101" i="25"/>
  <c r="AE116" i="25"/>
  <c r="AE182" i="25"/>
  <c r="AE155" i="25"/>
  <c r="AE215" i="25"/>
  <c r="AE84" i="25"/>
  <c r="AE75" i="25"/>
  <c r="AE59" i="25"/>
  <c r="D8" i="408" l="1"/>
  <c r="AS29" i="408" s="1"/>
  <c r="AS15" i="408"/>
  <c r="N10" i="408"/>
  <c r="AS24" i="408"/>
  <c r="AS21" i="408"/>
  <c r="AS22" i="408"/>
  <c r="AS12" i="408"/>
  <c r="N11" i="408"/>
  <c r="D8" i="407"/>
  <c r="AS26" i="407" s="1"/>
  <c r="AS21" i="406"/>
  <c r="AS18" i="406"/>
  <c r="AS12" i="406"/>
  <c r="AJ11" i="406"/>
  <c r="AJ10" i="406"/>
  <c r="AS14" i="406"/>
  <c r="N11" i="406"/>
  <c r="AS19" i="406"/>
  <c r="AS17" i="406"/>
  <c r="AS10" i="406"/>
  <c r="AS16" i="406"/>
  <c r="AS15" i="406"/>
  <c r="AS13" i="406"/>
  <c r="N10" i="406"/>
  <c r="AS20" i="406"/>
  <c r="AS17" i="405"/>
  <c r="N10" i="405"/>
  <c r="AS19" i="405"/>
  <c r="AS12" i="405"/>
  <c r="AJ11" i="405"/>
  <c r="AS10" i="405"/>
  <c r="AS20" i="405"/>
  <c r="AS15" i="405"/>
  <c r="AS16" i="405"/>
  <c r="AS14" i="405"/>
  <c r="AJ10" i="405"/>
  <c r="N11" i="405"/>
  <c r="AS13" i="405"/>
  <c r="AS21" i="405"/>
  <c r="AS18" i="405"/>
  <c r="AS20" i="403"/>
  <c r="AS19" i="403"/>
  <c r="AJ11" i="403"/>
  <c r="N10" i="403"/>
  <c r="AS12" i="403"/>
  <c r="AS17" i="403"/>
  <c r="AS14" i="403"/>
  <c r="AS21" i="403"/>
  <c r="AS10" i="403"/>
  <c r="AS18" i="403"/>
  <c r="N11" i="403"/>
  <c r="AS15" i="403"/>
  <c r="AS16" i="403"/>
  <c r="AJ10" i="403"/>
  <c r="AS13" i="403"/>
  <c r="AS10" i="402"/>
  <c r="N10" i="402"/>
  <c r="N11" i="402"/>
  <c r="AS13" i="402"/>
  <c r="AS12" i="402"/>
  <c r="AS15" i="402"/>
  <c r="AJ11" i="402"/>
  <c r="AS14" i="402"/>
  <c r="AJ10" i="402"/>
  <c r="AS19" i="401"/>
  <c r="AS10" i="401"/>
  <c r="AS18" i="401"/>
  <c r="AS13" i="401"/>
  <c r="AS20" i="401"/>
  <c r="AJ11" i="401"/>
  <c r="N11" i="401"/>
  <c r="AS15" i="401"/>
  <c r="AS14" i="401"/>
  <c r="AS12" i="401"/>
  <c r="AJ10" i="401"/>
  <c r="AS16" i="401"/>
  <c r="AS17" i="401"/>
  <c r="N10" i="401"/>
  <c r="AS12" i="400"/>
  <c r="AJ10" i="400"/>
  <c r="AS15" i="400"/>
  <c r="N10" i="400"/>
  <c r="AS13" i="400"/>
  <c r="N11" i="400"/>
  <c r="AS16" i="400"/>
  <c r="AJ11" i="400"/>
  <c r="AS17" i="400"/>
  <c r="AS14" i="400"/>
  <c r="AS18" i="400"/>
  <c r="AS10" i="400"/>
  <c r="AS12" i="396"/>
  <c r="AS14" i="396"/>
  <c r="AJ11" i="396"/>
  <c r="N10" i="396"/>
  <c r="AJ10" i="396"/>
  <c r="AS15" i="396"/>
  <c r="AS13" i="396"/>
  <c r="N11" i="396"/>
  <c r="AS10" i="396"/>
  <c r="N10" i="399"/>
  <c r="AS13" i="399"/>
  <c r="AS12" i="399"/>
  <c r="AJ11" i="399"/>
  <c r="N11" i="399"/>
  <c r="AS10" i="399"/>
  <c r="AJ10" i="399"/>
  <c r="AS10" i="397"/>
  <c r="N10" i="397"/>
  <c r="AS13" i="397"/>
  <c r="AJ10" i="397"/>
  <c r="AS14" i="397"/>
  <c r="AS12" i="397"/>
  <c r="AJ11" i="397"/>
  <c r="N11" i="397"/>
  <c r="AS12" i="398"/>
  <c r="AS10" i="398"/>
  <c r="AJ11" i="398"/>
  <c r="N11" i="398"/>
  <c r="AJ10" i="398"/>
  <c r="N10" i="398"/>
  <c r="AS13" i="398"/>
  <c r="AS14" i="395"/>
  <c r="AS10" i="395"/>
  <c r="AS13" i="395"/>
  <c r="AS12" i="395"/>
  <c r="AJ10" i="395"/>
  <c r="AJ11" i="395"/>
  <c r="N11" i="395"/>
  <c r="AS15" i="395"/>
  <c r="N10" i="395"/>
  <c r="AS10" i="394"/>
  <c r="AS14" i="394"/>
  <c r="N11" i="394"/>
  <c r="AS12" i="394"/>
  <c r="AJ10" i="394"/>
  <c r="N10" i="394"/>
  <c r="AS15" i="394"/>
  <c r="AJ11" i="394"/>
  <c r="AS13" i="394"/>
  <c r="AJ11" i="393"/>
  <c r="AJ10" i="393"/>
  <c r="N11" i="393"/>
  <c r="AS10" i="393"/>
  <c r="N10" i="393"/>
  <c r="AS15" i="392"/>
  <c r="AS17" i="392"/>
  <c r="AS16" i="392"/>
  <c r="N10" i="392"/>
  <c r="AS14" i="392"/>
  <c r="AS13" i="392"/>
  <c r="AS12" i="392"/>
  <c r="N11" i="392"/>
  <c r="AJ11" i="392"/>
  <c r="AS10" i="392"/>
  <c r="AJ10" i="392"/>
  <c r="AS12" i="391"/>
  <c r="AJ10" i="391"/>
  <c r="AS13" i="391"/>
  <c r="N11" i="391"/>
  <c r="AS15" i="391"/>
  <c r="AJ11" i="391"/>
  <c r="AS10" i="391"/>
  <c r="N10" i="391"/>
  <c r="AS13" i="389"/>
  <c r="N11" i="389"/>
  <c r="AJ11" i="389"/>
  <c r="AS15" i="389"/>
  <c r="AS10" i="389"/>
  <c r="AJ10" i="389"/>
  <c r="N10" i="389"/>
  <c r="AS12" i="389"/>
  <c r="AS14" i="389"/>
  <c r="AS33" i="386"/>
  <c r="AS16" i="386"/>
  <c r="AS21" i="386"/>
  <c r="AS37" i="386"/>
  <c r="AS19" i="386"/>
  <c r="AS26" i="386"/>
  <c r="AJ11" i="386"/>
  <c r="AS30" i="386"/>
  <c r="AS22" i="386"/>
  <c r="AS40" i="386"/>
  <c r="AS12" i="386"/>
  <c r="N10" i="386"/>
  <c r="AS25" i="386"/>
  <c r="AJ10" i="386"/>
  <c r="N11" i="386"/>
  <c r="AS39" i="386"/>
  <c r="AS28" i="386"/>
  <c r="AS31" i="386"/>
  <c r="AS20" i="386"/>
  <c r="AS24" i="386"/>
  <c r="AS27" i="386"/>
  <c r="AS17" i="386"/>
  <c r="AS29" i="386"/>
  <c r="AS38" i="386"/>
  <c r="AS36" i="386"/>
  <c r="AS18" i="386"/>
  <c r="AS14" i="386"/>
  <c r="AS10" i="386"/>
  <c r="AS41" i="386"/>
  <c r="AS34" i="386"/>
  <c r="AS23" i="386"/>
  <c r="AS32" i="386"/>
  <c r="AS15" i="386"/>
  <c r="AS13" i="386"/>
  <c r="AS35" i="386"/>
  <c r="AS46" i="382"/>
  <c r="AS40" i="382"/>
  <c r="AS41" i="382"/>
  <c r="AJ11" i="382"/>
  <c r="AS36" i="382"/>
  <c r="AS30" i="382"/>
  <c r="AS13" i="382"/>
  <c r="N11" i="382"/>
  <c r="AS44" i="382"/>
  <c r="AS38" i="382"/>
  <c r="AS18" i="382"/>
  <c r="AS21" i="382"/>
  <c r="AS35" i="382"/>
  <c r="AS29" i="382"/>
  <c r="AS37" i="382"/>
  <c r="AS17" i="382"/>
  <c r="AS45" i="382"/>
  <c r="AS33" i="382"/>
  <c r="AS19" i="382"/>
  <c r="AS27" i="382"/>
  <c r="AS31" i="382"/>
  <c r="AS26" i="382"/>
  <c r="AS39" i="382"/>
  <c r="AS34" i="382"/>
  <c r="AJ10" i="382"/>
  <c r="AS28" i="382"/>
  <c r="AS23" i="382"/>
  <c r="AS10" i="382"/>
  <c r="AS42" i="382"/>
  <c r="AS32" i="382"/>
  <c r="AS16" i="382"/>
  <c r="AS43" i="382"/>
  <c r="AS12" i="382"/>
  <c r="AS15" i="382"/>
  <c r="AS24" i="382"/>
  <c r="AS25" i="382"/>
  <c r="N10" i="382"/>
  <c r="AS20" i="382"/>
  <c r="AS14" i="382"/>
  <c r="AS22" i="382"/>
  <c r="AS13" i="385"/>
  <c r="AS18" i="385"/>
  <c r="AS12" i="385"/>
  <c r="AS15" i="385"/>
  <c r="AS10" i="385"/>
  <c r="AS16" i="385"/>
  <c r="AJ11" i="385"/>
  <c r="N11" i="385"/>
  <c r="AS17" i="385"/>
  <c r="AS23" i="385"/>
  <c r="AS20" i="385"/>
  <c r="AJ10" i="385"/>
  <c r="N10" i="385"/>
  <c r="AS21" i="385"/>
  <c r="AS22" i="385"/>
  <c r="AS14" i="385"/>
  <c r="AS19" i="385"/>
  <c r="AS12" i="384"/>
  <c r="AJ10" i="384"/>
  <c r="AS19" i="384"/>
  <c r="AS15" i="384"/>
  <c r="AJ11" i="384"/>
  <c r="AS18" i="384"/>
  <c r="AS13" i="384"/>
  <c r="AS14" i="384"/>
  <c r="AS20" i="384"/>
  <c r="N10" i="384"/>
  <c r="AS17" i="384"/>
  <c r="AS22" i="384"/>
  <c r="N11" i="384"/>
  <c r="AS16" i="384"/>
  <c r="AS21" i="384"/>
  <c r="AS10" i="384"/>
  <c r="AS21" i="387"/>
  <c r="AS20" i="387"/>
  <c r="AS19" i="387"/>
  <c r="AS18" i="387"/>
  <c r="AS14" i="387"/>
  <c r="AJ10" i="387"/>
  <c r="AS23" i="387"/>
  <c r="AS12" i="387"/>
  <c r="N10" i="387"/>
  <c r="AS22" i="387"/>
  <c r="AS15" i="387"/>
  <c r="AJ11" i="387"/>
  <c r="AS24" i="387"/>
  <c r="AS10" i="387"/>
  <c r="N11" i="387"/>
  <c r="AS16" i="387"/>
  <c r="AS13" i="387"/>
  <c r="AS17" i="387"/>
  <c r="AS15" i="383"/>
  <c r="N11" i="383"/>
  <c r="AS17" i="383"/>
  <c r="AS21" i="383"/>
  <c r="AS10" i="383"/>
  <c r="AS13" i="383"/>
  <c r="AS12" i="383"/>
  <c r="AS20" i="383"/>
  <c r="N10" i="383"/>
  <c r="AS22" i="383"/>
  <c r="AJ10" i="383"/>
  <c r="AJ11" i="383"/>
  <c r="AS14" i="383"/>
  <c r="AS16" i="383"/>
  <c r="AS19" i="383"/>
  <c r="AS18" i="383"/>
  <c r="N10" i="366"/>
  <c r="AJ11" i="366"/>
  <c r="N11" i="366"/>
  <c r="AJ10" i="366"/>
  <c r="AS10" i="366"/>
  <c r="AJ10" i="368"/>
  <c r="AJ11" i="368"/>
  <c r="N11" i="368"/>
  <c r="AS10" i="368"/>
  <c r="N10" i="368"/>
  <c r="AS20" i="369"/>
  <c r="AJ10" i="369"/>
  <c r="AS13" i="369"/>
  <c r="AS12" i="369"/>
  <c r="AS17" i="369"/>
  <c r="AJ11" i="369"/>
  <c r="AS16" i="369"/>
  <c r="AS19" i="369"/>
  <c r="N10" i="369"/>
  <c r="AS18"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21" i="25"/>
  <c r="AE220" i="25"/>
  <c r="AS26" i="408" l="1"/>
  <c r="AS18" i="408"/>
  <c r="AJ10" i="408"/>
  <c r="AS23" i="408"/>
  <c r="AS16" i="408"/>
  <c r="AS27" i="408"/>
  <c r="AS14" i="408"/>
  <c r="AS19" i="408"/>
  <c r="AS10" i="408"/>
  <c r="AS13" i="408"/>
  <c r="AS25" i="408"/>
  <c r="AS17" i="408"/>
  <c r="AS20" i="408"/>
  <c r="AJ11" i="408"/>
  <c r="AS28" i="408"/>
  <c r="AS25" i="407"/>
  <c r="AS20" i="407"/>
  <c r="AS14" i="407"/>
  <c r="AS21" i="407"/>
  <c r="AS17" i="407"/>
  <c r="AS12" i="407"/>
  <c r="N11" i="407"/>
  <c r="N10" i="407"/>
  <c r="AS18" i="407"/>
  <c r="AS15" i="407"/>
  <c r="AJ11" i="407"/>
  <c r="AS16" i="407"/>
  <c r="AS23" i="407"/>
  <c r="AS28" i="407"/>
  <c r="AS19" i="407"/>
  <c r="AS24" i="407"/>
  <c r="AS13" i="407"/>
  <c r="AS10" i="407"/>
  <c r="AS27" i="407"/>
  <c r="AS22" i="407"/>
  <c r="AJ10" i="407"/>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10" i="25"/>
  <c r="AE108" i="25"/>
  <c r="AE109"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 r="AM216" i="25"/>
</calcChain>
</file>

<file path=xl/sharedStrings.xml><?xml version="1.0" encoding="utf-8"?>
<sst xmlns="http://schemas.openxmlformats.org/spreadsheetml/2006/main" count="23816" uniqueCount="4288">
  <si>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</si>
  <si>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</si>
  <si>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</si>
  <si>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</si>
  <si>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</si>
  <si>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</si>
  <si>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</si>
  <si>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</si>
  <si>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</si>
  <si>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</si>
  <si>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</si>
  <si>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</si>
  <si>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</si>
  <si>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</si>
  <si>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</si>
  <si>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</si>
  <si>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</si>
  <si>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</si>
  <si>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</si>
  <si>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</si>
  <si>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</si>
  <si>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</si>
  <si>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</si>
  <si>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</si>
  <si>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</si>
  <si>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</si>
  <si>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</si>
  <si>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</si>
  <si>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</si>
  <si>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</si>
  <si>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</si>
  <si>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</si>
  <si>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</si>
  <si>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</si>
  <si>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</si>
  <si>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</si>
  <si>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</si>
  <si>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</si>
  <si>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</si>
  <si>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</si>
  <si>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</si>
  <si>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</si>
  <si>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</si>
  <si>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</si>
  <si>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</si>
  <si>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</si>
  <si>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</si>
  <si>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</si>
  <si>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</si>
  <si>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</si>
  <si>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</si>
  <si>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</si>
  <si>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</si>
  <si>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</si>
  <si>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</si>
  <si>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</si>
  <si>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</si>
  <si>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</si>
  <si>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</si>
  <si>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</si>
  <si>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</si>
  <si>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</si>
  <si>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</si>
  <si>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</si>
  <si>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</si>
  <si>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</si>
  <si>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</si>
  <si>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</si>
  <si>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</si>
  <si>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</si>
  <si>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</si>
  <si>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</si>
  <si>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</si>
  <si>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</si>
  <si>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</si>
  <si>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</si>
  <si>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</si>
  <si>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</si>
  <si>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</si>
  <si>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</si>
  <si>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</si>
  <si>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</si>
  <si>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</si>
  <si>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</si>
  <si>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</si>
  <si>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</si>
  <si>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</si>
  <si>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</si>
  <si>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</si>
  <si>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</si>
  <si>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</si>
  <si>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</si>
  <si>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</si>
  <si>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</si>
  <si>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</si>
  <si>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</si>
  <si>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</si>
  <si>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</si>
  <si>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</si>
  <si>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</si>
  <si>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</si>
  <si>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</si>
  <si>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</si>
  <si>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</si>
  <si>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</si>
  <si>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</si>
  <si>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</si>
  <si>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</si>
  <si>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</si>
  <si>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</si>
  <si>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</si>
  <si>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</si>
  <si>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</si>
  <si>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</si>
  <si>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</si>
  <si>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</si>
  <si>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</si>
  <si>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</si>
  <si>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</si>
  <si>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</si>
  <si>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</si>
  <si>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</si>
  <si>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</si>
  <si>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</si>
  <si>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</si>
  <si>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</si>
  <si>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</si>
  <si>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</si>
  <si>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</si>
  <si>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</si>
  <si>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</si>
  <si>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</si>
  <si>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</si>
  <si>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</si>
  <si>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</si>
  <si>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</si>
  <si>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</si>
  <si>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</si>
  <si>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</si>
  <si>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</si>
  <si>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</si>
  <si>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</si>
  <si>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</si>
  <si>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</si>
  <si>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</si>
  <si>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</si>
  <si>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</si>
  <si>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</si>
  <si>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</si>
  <si>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</si>
  <si>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</si>
  <si>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</si>
  <si>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</si>
  <si>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</si>
  <si>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</si>
  <si>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</si>
  <si>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</si>
  <si>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</si>
  <si>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</si>
  <si>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</si>
  <si>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</si>
  <si>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</si>
  <si>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</si>
  <si>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</si>
  <si>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</si>
  <si>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</si>
  <si>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</si>
  <si>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</si>
  <si>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</si>
  <si>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</si>
  <si>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</si>
  <si>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</si>
  <si>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</si>
  <si>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</si>
  <si>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</si>
  <si>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</si>
  <si>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</si>
  <si>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</si>
  <si>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</si>
  <si>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</si>
  <si>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</si>
  <si>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</si>
  <si>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</si>
  <si>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</si>
  <si>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</si>
  <si>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</si>
  <si>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</si>
  <si>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</si>
  <si>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</si>
  <si>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</si>
  <si>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</si>
  <si>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</si>
  <si>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</si>
  <si>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</si>
  <si>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</si>
  <si>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</si>
  <si>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</si>
  <si>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</si>
  <si>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</si>
  <si>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</si>
  <si>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</si>
  <si>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</si>
  <si>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</si>
  <si>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</si>
  <si>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</si>
  <si>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</si>
  <si>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</si>
  <si>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</si>
  <si>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</si>
  <si>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</si>
  <si>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</si>
  <si>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</si>
  <si>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</si>
  <si>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</si>
  <si>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</si>
  <si>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</si>
  <si>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</si>
  <si>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</si>
  <si>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</si>
  <si>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</si>
  <si>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</si>
  <si>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</si>
  <si>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</si>
  <si>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</si>
  <si>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</si>
  <si>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</si>
  <si>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</si>
  <si>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</si>
  <si>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</si>
  <si>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</si>
  <si>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</si>
  <si>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</si>
  <si>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</si>
  <si>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</si>
  <si>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</si>
  <si>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</si>
  <si>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</si>
  <si>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</si>
  <si>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</si>
  <si>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</si>
  <si>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</si>
  <si>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</si>
  <si>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</si>
  <si>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</si>
  <si>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</si>
  <si>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</si>
  <si>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</si>
  <si>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</si>
  <si>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</si>
  <si>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</si>
  <si>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</si>
  <si>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</si>
  <si>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</si>
  <si>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</si>
  <si>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</si>
  <si>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</si>
  <si>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</si>
  <si>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</si>
  <si>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</si>
  <si>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</si>
  <si>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</si>
  <si>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</si>
  <si>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</si>
  <si>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</si>
  <si>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</si>
  <si>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</si>
  <si>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</si>
  <si>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</si>
  <si>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</si>
  <si>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</si>
  <si>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</si>
  <si>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</si>
  <si>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</si>
  <si>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</si>
  <si>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</si>
  <si>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</si>
  <si>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</si>
  <si>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</si>
  <si>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</si>
  <si>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</si>
  <si>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</si>
  <si>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</si>
  <si>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</si>
  <si>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</si>
  <si>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</si>
  <si>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</si>
  <si>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</si>
  <si>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</si>
  <si>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</si>
  <si>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</si>
  <si>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</si>
  <si>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</si>
  <si>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</si>
  <si>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</si>
  <si>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</si>
  <si>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</si>
  <si>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</si>
  <si>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</si>
  <si>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</si>
  <si>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</si>
  <si>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</si>
  <si>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</si>
  <si>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</si>
  <si>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</si>
  <si>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</si>
  <si>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</si>
  <si>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</si>
  <si>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</si>
  <si>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</si>
  <si>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</si>
  <si>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</si>
  <si>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</si>
  <si>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</si>
  <si>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</si>
  <si>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</si>
  <si>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</si>
  <si>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</si>
  <si>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</si>
  <si>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</si>
  <si>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</si>
  <si>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</si>
  <si>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</si>
  <si>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</si>
  <si>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</si>
  <si>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</si>
  <si>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</si>
  <si>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</si>
  <si>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</si>
  <si>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</si>
  <si>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</si>
  <si>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</si>
  <si>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</si>
  <si>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</si>
  <si>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</si>
  <si>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</si>
  <si>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</si>
  <si>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</si>
  <si>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</si>
  <si>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</si>
  <si>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</si>
  <si>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</si>
  <si>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</si>
  <si>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</si>
  <si>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</si>
  <si>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</si>
  <si>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</si>
  <si>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</si>
  <si>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</si>
  <si>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</si>
  <si>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</si>
  <si>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</si>
  <si>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</si>
  <si>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</si>
  <si>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</si>
  <si>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</si>
  <si>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</si>
  <si>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</si>
  <si>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</si>
  <si>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</si>
  <si>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</si>
  <si>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</si>
  <si>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</si>
  <si>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</si>
  <si>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</si>
  <si>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</si>
  <si>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</si>
  <si>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</si>
  <si>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</si>
  <si>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</si>
  <si>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</si>
  <si>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</si>
  <si>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</si>
  <si>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</si>
  <si>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</si>
  <si>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</si>
  <si>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</si>
  <si>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</si>
  <si>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</si>
  <si>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</si>
  <si>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</si>
  <si>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</si>
  <si>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</si>
  <si>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</si>
  <si>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</si>
  <si>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</si>
  <si>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</si>
  <si>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</si>
  <si>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</si>
  <si>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</si>
  <si>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</si>
  <si>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</si>
  <si>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</si>
  <si>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</si>
  <si>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</si>
  <si>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</si>
  <si>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</si>
  <si>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</si>
  <si>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</si>
  <si>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</si>
  <si>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</si>
  <si>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</si>
  <si>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</si>
  <si>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</si>
  <si>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</si>
  <si>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</si>
  <si>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</si>
  <si>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</si>
  <si>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</si>
  <si>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</si>
  <si>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</si>
  <si>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</si>
  <si>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</si>
  <si>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</si>
  <si>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</si>
  <si>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</si>
  <si>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</si>
  <si>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</si>
  <si>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</si>
  <si>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</si>
  <si>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</si>
  <si>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</si>
  <si>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</si>
  <si>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</si>
  <si>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</si>
  <si>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</si>
  <si>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</si>
  <si>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</si>
  <si>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</si>
  <si>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</si>
  <si>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</si>
  <si>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</si>
  <si>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</si>
  <si>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</si>
  <si>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</si>
  <si>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</si>
  <si>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</si>
  <si>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</si>
  <si>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</si>
  <si>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</si>
  <si>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</si>
  <si>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</si>
  <si>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</si>
  <si>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</si>
  <si>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</si>
  <si>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</si>
  <si>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</si>
  <si>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</si>
  <si>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</si>
  <si>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</si>
  <si>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</si>
  <si>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</si>
  <si>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</si>
  <si>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</si>
  <si>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</si>
  <si>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</si>
  <si>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</si>
  <si>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</si>
  <si>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</si>
  <si>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</si>
  <si>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</si>
  <si>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</si>
  <si>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</si>
  <si>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</si>
  <si>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</si>
  <si>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</si>
  <si>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</si>
  <si>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</si>
  <si>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</si>
  <si>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</si>
  <si>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</si>
  <si>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</si>
  <si>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</si>
  <si>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</si>
  <si>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</si>
  <si>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</si>
  <si>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</si>
  <si>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</si>
  <si>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</si>
  <si>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</si>
  <si>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</si>
  <si>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</si>
  <si>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</si>
  <si>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</si>
  <si>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</si>
  <si>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</si>
  <si>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</si>
  <si>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</si>
  <si>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</si>
  <si>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</si>
  <si>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</si>
  <si>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</si>
  <si>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</si>
  <si>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</si>
  <si>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</si>
  <si>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</si>
  <si>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</si>
  <si>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</si>
  <si>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</si>
  <si>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</si>
  <si>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</si>
  <si>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</si>
  <si>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</si>
  <si>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</si>
  <si>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</si>
  <si>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</si>
  <si>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</si>
  <si>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</si>
  <si>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</si>
  <si>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</si>
  <si>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</si>
  <si>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</si>
  <si>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</si>
  <si>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</si>
  <si>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</si>
  <si>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</si>
  <si>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</si>
  <si>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</si>
  <si>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</si>
  <si>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</si>
  <si>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</si>
  <si>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</si>
  <si>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</si>
  <si>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</si>
  <si>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</si>
  <si>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</si>
  <si>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</si>
  <si>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</si>
  <si>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</si>
  <si>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</si>
  <si>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</si>
  <si>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</si>
  <si>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</si>
  <si>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</si>
  <si>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</si>
  <si>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</si>
  <si>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</si>
  <si>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</si>
  <si>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</si>
  <si>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</si>
  <si>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</si>
  <si>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</si>
  <si>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</si>
  <si>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</si>
  <si>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</si>
  <si>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</si>
  <si>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</si>
  <si>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</si>
  <si>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</si>
  <si>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</si>
  <si>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</si>
  <si>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</si>
  <si>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</si>
  <si>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</si>
  <si>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</si>
  <si>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</si>
  <si>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</si>
  <si>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</si>
  <si>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</si>
  <si>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</si>
  <si>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</si>
  <si>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</si>
  <si>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</si>
  <si>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</si>
  <si>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</si>
  <si>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</si>
  <si>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</si>
  <si>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</si>
  <si>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</si>
  <si>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</si>
  <si>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</si>
  <si>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</si>
  <si>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</si>
  <si>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</si>
  <si>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</si>
  <si>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</si>
  <si>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</si>
  <si>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</si>
  <si>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</si>
  <si>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</si>
  <si>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</si>
  <si>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</si>
  <si>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</si>
  <si>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</si>
  <si>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</si>
  <si>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</si>
  <si>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</si>
  <si>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</si>
  <si>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</si>
  <si>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</si>
  <si>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</si>
  <si>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</si>
  <si>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</si>
  <si>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</si>
  <si>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</si>
  <si>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</si>
  <si>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</si>
  <si>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</si>
  <si>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</si>
  <si>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</si>
  <si>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</si>
  <si>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</si>
  <si>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</si>
  <si>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</si>
  <si>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</si>
  <si>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</si>
  <si>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</si>
  <si>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</si>
  <si>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</si>
  <si>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</si>
  <si>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</si>
  <si>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</si>
  <si>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</si>
  <si>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</si>
  <si>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</si>
  <si>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</si>
  <si>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</si>
  <si>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</si>
  <si>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</si>
  <si>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</si>
  <si>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</si>
  <si>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</si>
  <si>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</si>
  <si>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</si>
  <si>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</si>
  <si>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</si>
  <si>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</si>
  <si>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</si>
  <si>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</si>
  <si>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</si>
  <si>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</si>
  <si>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</si>
  <si>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</si>
  <si>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</si>
  <si>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</si>
  <si>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</si>
  <si>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</si>
  <si>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</si>
  <si>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</si>
  <si>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</si>
  <si>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</si>
  <si>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</si>
  <si>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</si>
  <si>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</si>
  <si>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</si>
  <si>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</si>
  <si>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</si>
  <si>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</si>
  <si>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</si>
  <si>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</si>
  <si>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</si>
  <si>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</si>
  <si>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</si>
  <si>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</si>
  <si>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</si>
  <si>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</si>
  <si>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</si>
  <si>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</si>
  <si>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</si>
  <si>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</si>
  <si>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</si>
  <si>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</si>
  <si>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</si>
  <si>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</si>
  <si>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</si>
  <si>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</si>
  <si>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</si>
  <si>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</si>
  <si>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</si>
  <si>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</si>
  <si>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</si>
  <si>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</si>
  <si>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</si>
  <si>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</si>
  <si>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</si>
  <si>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</si>
  <si>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</si>
  <si>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</si>
  <si>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</si>
  <si>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</si>
  <si>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</si>
  <si>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</si>
  <si>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</si>
  <si>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</si>
  <si>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</si>
  <si>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</si>
  <si>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</si>
  <si>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</si>
  <si>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</si>
  <si>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</si>
  <si>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</si>
  <si>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</si>
  <si>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</si>
  <si>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</si>
  <si>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</si>
  <si>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</si>
  <si>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</si>
  <si>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</si>
  <si>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</si>
  <si>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</si>
  <si>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</si>
  <si>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</si>
  <si>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</si>
  <si>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</si>
  <si>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</si>
  <si>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</si>
  <si>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</si>
  <si>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</si>
  <si>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</si>
  <si>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</si>
  <si>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</si>
  <si>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</si>
  <si>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</si>
  <si>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</si>
  <si>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</si>
  <si>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</si>
  <si>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</si>
  <si>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</si>
  <si>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</si>
  <si>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</si>
  <si>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</si>
  <si>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</si>
  <si>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</si>
  <si>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</si>
  <si>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</si>
  <si>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</si>
  <si>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</si>
  <si>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</si>
  <si>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</si>
  <si>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</si>
  <si>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</si>
  <si>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</si>
  <si>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</si>
  <si>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</si>
  <si>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</si>
  <si>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</si>
  <si>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</si>
  <si>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</si>
  <si>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</si>
  <si>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</si>
  <si>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</si>
  <si>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</si>
  <si>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</si>
  <si>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</si>
  <si>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</si>
  <si>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</si>
  <si>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</si>
  <si>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</si>
  <si>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</si>
  <si>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</si>
  <si>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</si>
  <si>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</si>
  <si>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</si>
  <si>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</si>
  <si>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</si>
  <si>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</si>
  <si>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</si>
  <si>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</si>
  <si>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</si>
  <si>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</si>
  <si>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</si>
  <si>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</si>
  <si>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</si>
  <si>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</si>
  <si>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</si>
  <si>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</si>
  <si>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</si>
  <si>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</si>
  <si>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</si>
  <si>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</si>
  <si>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</si>
  <si>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</si>
  <si>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</si>
  <si>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</si>
  <si>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</si>
  <si>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</si>
  <si>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</si>
  <si>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</si>
  <si>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</si>
  <si>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</si>
  <si>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</si>
  <si>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</si>
  <si>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</si>
  <si>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</si>
  <si>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</si>
  <si>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</si>
  <si>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</si>
  <si>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</si>
  <si>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</si>
  <si>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</si>
  <si>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</si>
  <si>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</si>
  <si>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</si>
  <si>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</si>
  <si>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</si>
  <si>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</si>
  <si>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</si>
  <si>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</si>
  <si>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</si>
  <si>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</si>
  <si>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</si>
  <si>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</si>
  <si>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</si>
  <si>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</si>
  <si>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</si>
  <si>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</si>
  <si>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</si>
  <si>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</si>
  <si>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</si>
  <si>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</si>
  <si>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</si>
  <si>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</si>
  <si>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</si>
  <si>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</si>
  <si>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</si>
  <si>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</si>
  <si>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</si>
  <si>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</si>
  <si>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</si>
  <si>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</si>
  <si>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</si>
  <si>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</si>
  <si>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</si>
  <si>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</si>
  <si>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</si>
  <si>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</si>
  <si>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</si>
  <si>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</si>
  <si>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</si>
  <si>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</si>
  <si>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</si>
  <si>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</si>
  <si>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</si>
  <si>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</si>
  <si>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</si>
  <si>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</si>
  <si>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</si>
  <si>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</si>
  <si>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</si>
  <si>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</si>
  <si>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</si>
  <si>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</si>
  <si>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</si>
  <si>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</si>
  <si>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</si>
  <si>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</si>
  <si>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</si>
  <si>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</si>
  <si>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</si>
  <si>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</si>
  <si>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</si>
  <si>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</si>
  <si>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</si>
  <si>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</si>
  <si>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</si>
  <si>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</si>
  <si>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</si>
  <si>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</si>
  <si>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</si>
  <si>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</si>
  <si>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</si>
  <si>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</si>
  <si>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</si>
  <si>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</si>
  <si>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</si>
  <si>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</si>
  <si>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</si>
  <si>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</si>
  <si>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</si>
  <si>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</si>
  <si>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</si>
  <si>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</si>
  <si>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</si>
  <si>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</si>
  <si>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</si>
  <si>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</si>
  <si>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</si>
  <si>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</si>
  <si>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</si>
  <si>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</si>
  <si>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</si>
  <si>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</si>
  <si>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</si>
  <si>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</si>
  <si>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</si>
  <si>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</si>
  <si>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</si>
  <si>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</si>
  <si>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</si>
  <si>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</si>
  <si>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</si>
  <si>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</si>
  <si>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</si>
  <si>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</si>
  <si>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</si>
  <si>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</si>
  <si>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</si>
  <si>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</si>
  <si>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</si>
  <si>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</si>
  <si>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</si>
  <si>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</si>
  <si>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</si>
  <si>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</si>
  <si>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</si>
  <si>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</si>
  <si>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</si>
  <si>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</si>
  <si>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</si>
  <si>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</si>
  <si>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</si>
  <si>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</si>
  <si>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</si>
  <si>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</si>
  <si>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</si>
  <si>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</si>
  <si>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</si>
  <si>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</si>
  <si>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</si>
  <si>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</si>
  <si>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</si>
  <si>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</si>
  <si>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</si>
  <si>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</si>
  <si>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</si>
  <si>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</si>
  <si>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</si>
  <si>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</si>
  <si>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</si>
  <si>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</si>
  <si>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</si>
  <si>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</si>
  <si>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</si>
  <si>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</si>
  <si>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</si>
  <si>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</si>
  <si>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</si>
  <si>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</si>
  <si>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</si>
  <si>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</si>
  <si>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</si>
  <si>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</si>
  <si>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</si>
  <si>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</si>
  <si>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</si>
  <si>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</si>
  <si>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</si>
  <si>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</si>
  <si>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</si>
  <si>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</si>
  <si>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</si>
  <si>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</si>
  <si>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</si>
  <si>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</si>
  <si>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</si>
  <si>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</si>
  <si>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</si>
  <si>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</si>
  <si>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</si>
  <si>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</si>
  <si>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</si>
  <si>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</si>
  <si>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</si>
  <si>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</si>
  <si>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</si>
  <si>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</si>
  <si>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</si>
  <si>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</si>
  <si>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</si>
  <si>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</si>
  <si>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</si>
  <si>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</si>
  <si>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</si>
  <si>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</si>
  <si>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</si>
  <si>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</si>
  <si>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</si>
  <si>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</si>
  <si>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</si>
  <si>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</si>
  <si>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</si>
  <si>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</si>
  <si>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</si>
  <si>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</si>
  <si>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</si>
  <si>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</si>
  <si>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</si>
  <si>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</si>
  <si>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</si>
  <si>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</si>
  <si>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</si>
  <si>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</si>
  <si>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</si>
  <si>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</si>
  <si>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</si>
  <si>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</si>
  <si>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</si>
  <si>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</si>
  <si>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</si>
  <si>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</si>
  <si>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</si>
  <si>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</si>
  <si>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</si>
  <si>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</si>
  <si>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</si>
  <si>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</si>
  <si>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</si>
  <si>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</si>
  <si>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</si>
  <si>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</si>
  <si>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</si>
  <si>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</si>
  <si>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</si>
  <si>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</si>
  <si>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</si>
  <si>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</si>
  <si>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</si>
  <si>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</si>
  <si>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</si>
  <si>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</si>
  <si>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</si>
  <si>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</si>
  <si>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</si>
  <si>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</si>
  <si>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</si>
  <si>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</si>
  <si>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</si>
  <si>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</si>
  <si>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</si>
  <si>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</si>
  <si>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</si>
  <si>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</si>
  <si>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</si>
  <si>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</si>
  <si>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</si>
  <si>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</si>
  <si>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</si>
  <si>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</si>
  <si>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</si>
  <si>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</si>
  <si>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</si>
  <si>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</si>
  <si>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</si>
  <si>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</si>
  <si>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</si>
  <si>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</si>
  <si>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</si>
  <si>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</si>
  <si>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</si>
  <si>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</si>
  <si>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</si>
  <si>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</si>
  <si>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</si>
  <si>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</si>
  <si>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</si>
  <si>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</si>
  <si>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</si>
  <si>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</si>
  <si>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</si>
  <si>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</si>
  <si>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</si>
  <si>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</si>
  <si>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</si>
  <si>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</si>
  <si>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</si>
  <si>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</si>
  <si>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</si>
  <si>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</si>
  <si>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</si>
  <si>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</si>
  <si>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</si>
  <si>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</si>
  <si>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</si>
  <si>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</si>
  <si>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</si>
  <si>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</si>
  <si>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</si>
  <si>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</si>
  <si>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</si>
  <si>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</si>
  <si>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</si>
  <si>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</si>
  <si>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</si>
  <si>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</si>
  <si>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</si>
  <si>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</si>
  <si>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</si>
  <si>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</si>
  <si>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</si>
  <si>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</si>
  <si>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</si>
  <si>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</si>
  <si>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</si>
  <si>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</si>
  <si>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</si>
  <si>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</si>
  <si>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</si>
  <si>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</si>
  <si>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</si>
  <si>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</si>
  <si>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</si>
  <si>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</si>
  <si>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</si>
  <si>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</si>
  <si>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</si>
  <si>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</si>
  <si>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</si>
  <si>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</si>
  <si>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</si>
  <si>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</si>
  <si>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</si>
  <si>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</si>
  <si>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</si>
  <si>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</si>
  <si>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</si>
  <si>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</si>
  <si>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</si>
  <si>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</si>
  <si>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</si>
  <si>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</si>
  <si>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</si>
  <si>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</si>
  <si>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</si>
  <si>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</si>
  <si>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</si>
  <si>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</si>
  <si>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</si>
  <si>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</si>
  <si>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</si>
  <si>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</si>
  <si>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</si>
  <si>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</si>
  <si>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</si>
  <si>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</si>
  <si>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</si>
  <si>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</si>
  <si>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</si>
  <si>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</si>
  <si>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</si>
  <si>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</si>
  <si>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</si>
  <si>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</si>
  <si>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</si>
  <si>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</si>
  <si>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</si>
  <si>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</si>
  <si>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</si>
  <si>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</si>
  <si>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</si>
  <si>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</si>
  <si>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</si>
  <si>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</si>
  <si>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</si>
  <si>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</si>
  <si>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</si>
  <si>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</si>
  <si>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</si>
  <si>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</si>
  <si>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</si>
  <si>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</si>
  <si>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</si>
  <si>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</si>
  <si>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</si>
  <si>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</si>
  <si>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</si>
  <si>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</si>
  <si>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</si>
  <si>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</si>
  <si>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</si>
  <si>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</si>
  <si>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</si>
  <si>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</si>
  <si>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</si>
  <si>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</si>
  <si>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</si>
  <si>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</si>
  <si>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</si>
  <si>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</si>
  <si>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</si>
  <si>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</si>
  <si>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</si>
  <si>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</si>
  <si>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</si>
  <si>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</si>
  <si>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</si>
  <si>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</si>
  <si>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</si>
  <si>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</si>
  <si>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</si>
  <si>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</si>
  <si>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</si>
  <si>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</si>
  <si>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</si>
  <si>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</si>
  <si>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</si>
  <si>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</si>
  <si>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</si>
  <si>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</si>
  <si>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</si>
  <si>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</si>
  <si>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</si>
  <si>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</si>
  <si>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</si>
  <si>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</si>
  <si>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</si>
  <si>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</si>
  <si>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</si>
  <si>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</si>
  <si>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</si>
  <si>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</si>
  <si>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</si>
  <si>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</si>
  <si>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</si>
  <si>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</si>
  <si>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</si>
  <si>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</si>
  <si>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</si>
  <si>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</si>
  <si>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</si>
  <si>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</si>
  <si>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</si>
  <si>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</si>
  <si>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</si>
  <si>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</si>
  <si>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</si>
  <si>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</si>
  <si>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</si>
  <si>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</si>
  <si>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</si>
  <si>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</si>
  <si>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</si>
  <si>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</si>
  <si>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</si>
  <si>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</si>
  <si>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</si>
  <si>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</si>
  <si>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</si>
  <si>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</si>
  <si>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</si>
  <si>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</si>
  <si>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</si>
  <si>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</si>
  <si>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</si>
  <si>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</si>
  <si>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</si>
  <si>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</si>
  <si>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</si>
  <si>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</si>
  <si>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</si>
  <si>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</si>
  <si>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</si>
  <si>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</si>
  <si>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</si>
  <si>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</si>
  <si>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</si>
  <si>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</si>
  <si>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</si>
  <si>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</si>
  <si>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</si>
  <si>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</si>
  <si>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</si>
  <si>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</si>
  <si>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</si>
  <si>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</si>
  <si>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</si>
  <si>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</si>
  <si>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</si>
  <si>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</si>
  <si>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</si>
  <si>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</si>
  <si>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</si>
  <si>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</si>
  <si>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</si>
  <si>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</si>
  <si>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</si>
  <si>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</si>
  <si>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</si>
  <si>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</si>
  <si>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</si>
  <si>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</si>
  <si>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</si>
  <si>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</si>
  <si>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</si>
  <si>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</si>
  <si>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</si>
  <si>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</si>
  <si>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</si>
  <si>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</si>
  <si>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</si>
  <si>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</si>
  <si>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</si>
  <si>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</si>
  <si>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</si>
  <si>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</si>
  <si>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</si>
  <si>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</si>
  <si>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</si>
  <si>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</si>
  <si>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</si>
  <si>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</si>
  <si>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</si>
  <si>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</si>
  <si>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</si>
  <si>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</si>
  <si>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</si>
  <si>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</si>
  <si>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</si>
  <si>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</si>
  <si>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</si>
  <si>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</si>
  <si>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</si>
  <si>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</si>
  <si>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</si>
  <si>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</si>
  <si>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</si>
  <si>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</si>
  <si>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</si>
  <si>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</si>
  <si>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</si>
  <si>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</si>
  <si>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</si>
  <si>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</si>
  <si>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</si>
  <si>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</si>
  <si>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</si>
  <si>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</si>
  <si>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</si>
  <si>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</si>
  <si>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</si>
  <si>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</si>
  <si>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</si>
  <si>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</si>
  <si>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</si>
  <si>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</si>
  <si>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</si>
  <si>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</si>
  <si>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</si>
  <si>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</si>
  <si>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</si>
  <si>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</si>
  <si>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</si>
  <si>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</si>
  <si>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</si>
  <si>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</si>
  <si>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</si>
  <si>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</si>
  <si>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</si>
  <si>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</si>
  <si>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</si>
  <si>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</si>
  <si>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</si>
  <si>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</si>
  <si>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</si>
  <si>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</si>
  <si>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</si>
  <si>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</si>
  <si>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</si>
  <si>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</si>
  <si>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</si>
  <si>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</si>
  <si>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</si>
  <si>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</si>
  <si>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</si>
  <si>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</si>
  <si>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</si>
  <si>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</si>
  <si>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</si>
  <si>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</si>
  <si>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</si>
  <si>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</si>
  <si>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</si>
  <si>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</si>
  <si>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</si>
  <si>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</si>
  <si>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</si>
  <si>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</si>
  <si>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</si>
  <si>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</si>
  <si>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</si>
  <si>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</si>
  <si>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</si>
  <si>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</si>
  <si>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</si>
  <si>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</si>
  <si>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</si>
  <si>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</si>
  <si>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</si>
  <si>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</si>
  <si>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</si>
  <si>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</si>
  <si>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</si>
  <si>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</si>
  <si>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</si>
  <si>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</si>
  <si>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</si>
  <si>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</si>
  <si>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</si>
  <si>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</si>
  <si>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</si>
  <si>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</si>
  <si>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</si>
  <si>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</si>
  <si>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</si>
  <si>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</si>
  <si>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</si>
  <si>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</si>
  <si>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</si>
  <si>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</si>
  <si>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</si>
  <si>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</si>
  <si>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</si>
  <si>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</si>
  <si>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</si>
  <si>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</si>
  <si>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</si>
  <si>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</si>
  <si>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</si>
  <si>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</si>
  <si>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</si>
  <si>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</si>
  <si>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</si>
  <si>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</si>
  <si>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</si>
  <si>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</si>
  <si>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</si>
  <si>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</si>
  <si>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</si>
  <si>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</si>
  <si>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</si>
  <si>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</si>
  <si>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</si>
  <si>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</si>
  <si>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</si>
  <si>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</si>
  <si>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</si>
  <si>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</si>
  <si>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</si>
  <si>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</si>
  <si>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</si>
  <si>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</si>
  <si>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</si>
  <si>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</si>
  <si>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</si>
  <si>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</si>
  <si>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</si>
  <si>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</si>
  <si>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</si>
  <si>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</si>
  <si>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</si>
  <si>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</si>
  <si>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</si>
  <si>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</si>
  <si>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</si>
  <si>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</si>
  <si>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</si>
  <si>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</si>
  <si>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</si>
  <si>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</si>
  <si>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</si>
  <si>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</si>
  <si>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</si>
  <si>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</si>
  <si>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</si>
  <si>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</si>
  <si>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</si>
  <si>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</si>
  <si>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</si>
  <si>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</si>
  <si>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</si>
  <si>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</si>
  <si>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</si>
  <si>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</si>
  <si>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</si>
  <si>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</si>
  <si>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</si>
  <si>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</si>
  <si>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</si>
  <si>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</si>
  <si>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</si>
  <si>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</si>
  <si>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</si>
  <si>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</si>
  <si>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</si>
  <si>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</si>
  <si>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</si>
  <si>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</si>
  <si>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</si>
  <si>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</si>
  <si>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</si>
  <si>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</si>
  <si>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</si>
  <si>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</si>
  <si>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</si>
  <si>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</si>
  <si>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</si>
  <si>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</si>
  <si>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</si>
  <si>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</si>
  <si>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</si>
  <si>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</si>
  <si>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</si>
  <si>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</si>
  <si>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</si>
  <si>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</si>
  <si>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</si>
  <si>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</si>
  <si>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</si>
  <si>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</si>
  <si>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</si>
  <si>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</si>
  <si>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</si>
  <si>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</si>
  <si>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</si>
  <si>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</si>
  <si>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</si>
  <si>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</si>
  <si>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</si>
  <si>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</si>
  <si>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</si>
  <si>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</si>
  <si>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</si>
  <si>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</si>
  <si>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</si>
  <si>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</si>
  <si>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</si>
  <si>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</si>
  <si>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</si>
  <si>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</si>
  <si>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</si>
  <si>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</si>
  <si>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</si>
  <si>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</si>
  <si>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</si>
  <si>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</si>
  <si>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</si>
  <si>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</si>
  <si>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</si>
  <si>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</si>
  <si>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</si>
  <si>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</si>
  <si>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</si>
  <si>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</si>
  <si>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</si>
  <si>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</si>
  <si>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</si>
  <si>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</si>
  <si>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</si>
  <si>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</si>
  <si>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</si>
  <si>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</si>
  <si>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</si>
  <si>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</si>
  <si>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</si>
  <si>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</si>
  <si>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</si>
  <si>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</si>
  <si>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</si>
  <si>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</si>
  <si>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</si>
  <si>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</si>
  <si>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</si>
  <si>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</si>
  <si>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</si>
  <si>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</si>
  <si>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</si>
  <si>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</si>
  <si>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</si>
  <si>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</si>
  <si>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</si>
  <si>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</si>
  <si>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</si>
  <si>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</si>
  <si>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</si>
  <si>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</si>
  <si>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</si>
  <si>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</si>
  <si>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</si>
  <si>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</si>
  <si>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</si>
  <si>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</si>
  <si>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</si>
  <si>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</si>
  <si>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</si>
  <si>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</si>
  <si>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</si>
  <si>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</si>
  <si>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</si>
  <si>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</si>
  <si>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</si>
  <si>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</si>
  <si>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</si>
  <si>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</si>
  <si>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</si>
  <si>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</si>
  <si>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</si>
  <si>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</si>
  <si>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</si>
  <si>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</si>
  <si>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</si>
  <si>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</si>
  <si>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</si>
  <si>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</si>
  <si>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</si>
  <si>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</si>
  <si>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</si>
  <si>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</si>
  <si>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</si>
  <si>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</si>
  <si>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</si>
  <si>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</si>
  <si>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</si>
  <si>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</si>
  <si>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</si>
  <si>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</si>
  <si>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</si>
  <si>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</si>
  <si>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</si>
  <si>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</si>
  <si>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</si>
  <si>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</si>
  <si>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</si>
  <si>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</si>
  <si>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</si>
  <si>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</si>
  <si>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</si>
  <si>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</si>
  <si>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</si>
  <si>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</si>
  <si>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</si>
  <si>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</si>
  <si>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</si>
  <si>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</si>
  <si>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</si>
  <si>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</si>
  <si>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</si>
  <si>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</si>
  <si>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</si>
  <si>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</si>
  <si>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</si>
  <si>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</si>
  <si>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</si>
  <si>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</si>
  <si>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</si>
  <si>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</si>
  <si>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</si>
  <si>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</si>
  <si>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</si>
  <si>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</si>
  <si>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</si>
  <si>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</si>
  <si>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</si>
  <si>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</si>
  <si>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</si>
  <si>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</si>
  <si>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</si>
  <si>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</si>
  <si>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</si>
  <si>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</si>
  <si>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</si>
  <si>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</si>
  <si>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</si>
  <si>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</si>
  <si>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</si>
  <si>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</si>
  <si>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</si>
  <si>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</si>
  <si>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</si>
  <si>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</si>
  <si>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</si>
  <si>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</si>
  <si>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</si>
  <si>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</si>
  <si>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</si>
  <si>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</si>
  <si>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</si>
  <si>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</si>
  <si>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</si>
  <si>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</si>
  <si>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</si>
  <si>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</si>
  <si>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</si>
  <si>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</si>
  <si>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</si>
  <si>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</si>
  <si>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</si>
  <si>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</si>
  <si>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</si>
  <si>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</si>
  <si>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</si>
  <si>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</si>
  <si>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</si>
  <si>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</si>
  <si>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</si>
  <si>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</si>
  <si>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</si>
  <si>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</si>
  <si>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</si>
  <si>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</si>
  <si>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</si>
  <si>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</si>
  <si>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</si>
  <si>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</si>
  <si>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</si>
  <si>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</si>
  <si>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</si>
  <si>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</si>
  <si>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</si>
  <si>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</si>
  <si>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</si>
  <si>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</si>
  <si>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</si>
  <si>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</si>
  <si>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</si>
  <si>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</si>
  <si>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</si>
  <si>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</si>
  <si>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</si>
  <si>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</si>
  <si>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</si>
  <si>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</si>
  <si>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</si>
  <si>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</si>
  <si>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</si>
  <si>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</si>
  <si>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</si>
  <si>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</si>
  <si>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</si>
  <si>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</si>
  <si>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</si>
  <si>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</si>
  <si>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</si>
  <si>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</si>
  <si>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</si>
  <si>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</si>
  <si>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</si>
  <si>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</si>
  <si>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</si>
  <si>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</si>
  <si>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</si>
  <si>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</si>
  <si>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</si>
  <si>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</si>
  <si>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</si>
  <si>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</si>
  <si>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</si>
  <si>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</si>
  <si>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</si>
  <si>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</si>
  <si>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</si>
  <si>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</si>
  <si>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</si>
  <si>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</si>
  <si>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</si>
  <si>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</si>
  <si>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</si>
  <si>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</si>
  <si>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</si>
  <si>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</si>
  <si>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</si>
  <si>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</si>
  <si>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</si>
  <si>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</si>
  <si>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</si>
  <si>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</si>
  <si>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</si>
  <si>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</si>
  <si>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</si>
  <si>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</si>
  <si>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</si>
  <si>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</si>
  <si>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</si>
  <si>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</si>
  <si>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</si>
  <si>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</si>
  <si>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</si>
  <si>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</si>
  <si>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</si>
  <si>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</si>
  <si>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</si>
  <si>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</si>
  <si>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</si>
  <si>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</si>
  <si>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</si>
  <si>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</si>
  <si>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</si>
  <si>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</si>
  <si>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</si>
  <si>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</si>
  <si>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</si>
  <si>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</si>
  <si>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</si>
  <si>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</si>
  <si>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</si>
  <si>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</si>
  <si>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</si>
  <si>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</si>
  <si>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</si>
  <si>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</si>
  <si>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</si>
  <si>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</si>
  <si>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</si>
  <si>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</si>
  <si>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</si>
  <si>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</si>
  <si>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</si>
  <si>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</si>
  <si>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</si>
  <si>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</si>
  <si>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</si>
  <si>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</si>
  <si>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</si>
  <si>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</si>
  <si>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</si>
  <si>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</si>
  <si>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</si>
  <si>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</si>
  <si>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</si>
  <si>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</si>
  <si>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</si>
  <si>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</si>
  <si>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</si>
  <si>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</si>
  <si>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</si>
  <si>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</si>
  <si>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</si>
  <si>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</si>
  <si>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</si>
  <si>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</si>
  <si>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</si>
  <si>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</si>
  <si>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</si>
  <si>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</si>
  <si>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</si>
  <si>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</si>
  <si>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</si>
  <si>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</si>
  <si>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</si>
  <si>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</si>
  <si>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</si>
  <si>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</si>
  <si>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</si>
  <si>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</si>
  <si>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</si>
  <si>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</si>
  <si>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</si>
  <si>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</si>
  <si>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</si>
  <si>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</si>
  <si>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</si>
  <si>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</si>
  <si>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</si>
  <si>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</si>
  <si>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</si>
  <si>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</si>
  <si>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</si>
  <si>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</si>
  <si>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</si>
  <si>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</si>
  <si>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</si>
  <si>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</si>
  <si>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</si>
  <si>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</si>
  <si>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</si>
  <si>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</si>
  <si>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</si>
  <si>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</si>
  <si>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</si>
  <si>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</si>
  <si>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</si>
  <si>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</si>
  <si>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</si>
  <si>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</si>
  <si>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</si>
  <si>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</si>
  <si>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</si>
  <si>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</si>
  <si>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</si>
  <si>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</si>
  <si>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</si>
  <si>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</si>
  <si>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</si>
  <si>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</si>
  <si>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</si>
  <si>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</si>
  <si>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</si>
  <si>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</si>
  <si>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</si>
  <si>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</si>
  <si>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</si>
  <si>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</si>
  <si>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</si>
  <si>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</si>
  <si>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</si>
  <si>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</si>
  <si>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</si>
  <si>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</si>
  <si>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</si>
  <si>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</si>
  <si>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</si>
  <si>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</si>
  <si>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</si>
  <si>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</si>
  <si>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</si>
  <si>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</si>
  <si>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</si>
  <si>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</si>
  <si>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</si>
  <si>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</si>
  <si>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</si>
  <si>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</si>
  <si>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</si>
  <si>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</si>
  <si>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</si>
  <si>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</si>
  <si>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</si>
  <si>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</si>
  <si>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</si>
  <si>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</si>
  <si>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</si>
  <si>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</si>
  <si>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</si>
  <si>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</si>
  <si>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</si>
  <si>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</si>
  <si>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</si>
  <si>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</si>
  <si>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</si>
  <si>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</si>
  <si>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</si>
  <si>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</si>
  <si>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</si>
  <si>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</si>
  <si>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</si>
  <si>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</si>
  <si>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</si>
  <si>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</si>
  <si>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</si>
  <si>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</si>
  <si>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</si>
  <si>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</si>
  <si>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</si>
  <si>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</si>
  <si>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</si>
  <si>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</si>
  <si>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</si>
  <si>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</si>
  <si>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</si>
  <si>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</si>
  <si>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</si>
  <si>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</si>
  <si>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</si>
  <si>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</si>
  <si>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</si>
  <si>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</si>
  <si>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</si>
  <si>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</si>
  <si>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</si>
  <si>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</si>
  <si>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</si>
  <si>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</si>
  <si>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</si>
  <si>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</si>
  <si>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</si>
  <si>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</si>
  <si>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</si>
  <si>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</si>
  <si>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</si>
  <si>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</si>
  <si>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</si>
  <si>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</si>
  <si>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</si>
  <si>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</si>
  <si>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</si>
  <si>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</si>
  <si>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</si>
  <si>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</si>
  <si>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</si>
  <si>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</si>
  <si>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</si>
  <si>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</si>
  <si>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</si>
  <si>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</si>
  <si>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</si>
  <si>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</si>
  <si>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</si>
  <si>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</si>
  <si>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</si>
  <si>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</si>
  <si>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</si>
  <si>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</si>
  <si>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</si>
  <si>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</si>
  <si>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</si>
  <si>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</si>
  <si>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</si>
  <si>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</si>
  <si>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</si>
  <si>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</si>
  <si>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</si>
  <si>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</si>
  <si>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</si>
  <si>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</si>
  <si>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</si>
  <si>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</si>
  <si>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</si>
  <si>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</si>
  <si>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</si>
  <si>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</si>
  <si>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</si>
  <si>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</si>
  <si>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</si>
  <si>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</si>
  <si>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</si>
  <si>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</si>
  <si>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</si>
  <si>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</si>
  <si>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</si>
  <si>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</si>
  <si>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</si>
  <si>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</si>
  <si>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</si>
  <si>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</si>
  <si>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</si>
  <si>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</si>
  <si>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</si>
  <si>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</si>
  <si>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</si>
  <si>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</si>
  <si>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</si>
  <si>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</si>
  <si>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</si>
  <si>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</si>
  <si>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</si>
  <si>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</si>
  <si>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</si>
  <si>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</si>
  <si>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</si>
  <si>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</si>
  <si>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</si>
  <si>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</si>
  <si>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</si>
  <si>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</si>
  <si>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</si>
  <si>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</si>
  <si>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</si>
  <si>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</si>
  <si>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</si>
  <si>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</si>
  <si>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</si>
  <si>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</si>
  <si>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</si>
  <si>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</si>
  <si>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</si>
  <si>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</si>
  <si>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</si>
  <si>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</si>
  <si>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</si>
  <si>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</si>
  <si>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</si>
  <si>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</si>
  <si>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</si>
  <si>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</si>
  <si>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</si>
  <si>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</si>
  <si>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</si>
  <si>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</si>
  <si>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</si>
  <si>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</si>
  <si>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</si>
  <si>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</si>
  <si>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</si>
  <si>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</si>
  <si>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</si>
  <si>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</si>
  <si>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</si>
  <si>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</si>
  <si>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</si>
  <si>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</si>
  <si>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</si>
  <si>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</si>
  <si>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</si>
  <si>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</si>
  <si>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</si>
  <si>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</si>
  <si>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</si>
  <si>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</si>
  <si>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</si>
  <si>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</si>
  <si>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</si>
  <si>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</si>
  <si>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</si>
  <si>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</si>
  <si>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</si>
  <si>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</si>
  <si>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</si>
  <si>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</si>
  <si>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</si>
  <si>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</si>
  <si>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</si>
  <si>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</si>
  <si>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</si>
  <si>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</si>
  <si>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</si>
  <si>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</si>
  <si>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</si>
  <si>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</si>
  <si>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</si>
  <si>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</si>
  <si>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</si>
  <si>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</si>
  <si>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</si>
  <si>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</si>
  <si>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</si>
  <si>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</si>
  <si>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</si>
  <si>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</si>
  <si>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</si>
  <si>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</si>
  <si>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</si>
  <si>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</si>
  <si>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</si>
  <si>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</si>
  <si>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</si>
  <si>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</si>
  <si>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</si>
  <si>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</si>
  <si>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</si>
  <si>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</si>
  <si>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</si>
  <si>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</si>
  <si>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</si>
  <si>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</si>
  <si>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</si>
  <si>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</si>
  <si>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</si>
  <si>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</si>
  <si>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</si>
  <si>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</si>
  <si>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</si>
  <si>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</si>
  <si>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</si>
  <si>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</si>
  <si>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</si>
  <si>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</si>
  <si>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</si>
  <si>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</si>
  <si>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</si>
  <si>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</si>
  <si>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</si>
  <si>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</si>
  <si>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</si>
  <si>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</si>
  <si>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</si>
  <si>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</si>
  <si>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</si>
  <si>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</si>
  <si>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</si>
  <si>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</si>
  <si>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</si>
  <si>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</si>
  <si>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</si>
  <si>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</si>
  <si>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</si>
  <si>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</si>
  <si>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</si>
  <si>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</si>
  <si>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</si>
  <si>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</si>
  <si>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</si>
  <si>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</si>
  <si>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</si>
  <si>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</si>
  <si>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</si>
  <si>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</si>
  <si>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</si>
  <si>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</si>
  <si>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</si>
  <si>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</si>
  <si>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</si>
  <si>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</si>
  <si>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</si>
  <si>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</si>
  <si>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</si>
  <si>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</si>
  <si>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</si>
  <si>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</si>
  <si>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</si>
  <si>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</si>
  <si>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</si>
  <si>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</si>
  <si>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</si>
  <si>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</si>
  <si>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</si>
  <si>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</si>
  <si>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</si>
  <si>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</si>
  <si>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</si>
  <si>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</si>
  <si>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</si>
  <si>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</si>
  <si>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</si>
  <si>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</si>
  <si>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</si>
  <si>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</si>
  <si>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</si>
  <si>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</si>
  <si>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</si>
  <si>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</si>
  <si>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</si>
  <si>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</si>
  <si>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</si>
  <si>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</si>
  <si>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</si>
  <si>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</si>
  <si>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</si>
  <si>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</si>
  <si>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</si>
  <si>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</si>
  <si>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</si>
  <si>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</si>
  <si>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</si>
  <si>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</si>
  <si>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</si>
  <si>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</si>
  <si>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</si>
  <si>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</si>
  <si>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</si>
  <si>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</si>
  <si>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</si>
  <si>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</si>
  <si>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</si>
  <si>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</si>
  <si>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</si>
  <si>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</si>
  <si>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</si>
  <si>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</si>
  <si>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</si>
  <si>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</si>
  <si>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</si>
  <si>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</si>
  <si>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</si>
  <si>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</si>
  <si>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</si>
  <si>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</si>
  <si>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</si>
  <si>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</si>
  <si>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</si>
  <si>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</si>
  <si>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</si>
  <si>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</si>
  <si>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</si>
  <si>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</si>
  <si>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</si>
  <si>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</si>
  <si>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</si>
  <si>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</si>
  <si>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</si>
  <si>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</si>
  <si>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</si>
  <si>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</si>
  <si>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</si>
  <si>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</si>
  <si>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</si>
  <si>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</si>
  <si>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</si>
  <si>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</si>
  <si>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</si>
  <si>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</si>
  <si>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</si>
  <si>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</si>
  <si>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</si>
  <si>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</si>
  <si>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</si>
  <si>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</si>
  <si>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</si>
  <si>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</si>
  <si>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</si>
  <si>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</si>
  <si>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</si>
  <si>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</si>
  <si>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</si>
  <si>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</si>
  <si>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</si>
  <si>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</si>
  <si>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</si>
  <si>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</si>
  <si>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</si>
  <si>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</si>
  <si>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</si>
  <si>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</si>
  <si>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</si>
  <si>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</si>
  <si>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</si>
  <si>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</si>
  <si>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</si>
  <si>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</si>
  <si>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</si>
  <si>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</si>
  <si>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</si>
  <si>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</si>
  <si>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</si>
  <si>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</si>
  <si>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</si>
  <si>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</si>
  <si>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</si>
  <si>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</si>
  <si>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</si>
  <si>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</si>
  <si>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</si>
  <si>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</si>
  <si>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</si>
  <si>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</si>
  <si>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</si>
  <si>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</si>
  <si>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</si>
  <si>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</si>
  <si>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</si>
  <si>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</si>
  <si>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</si>
  <si>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</si>
  <si>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</si>
  <si>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</si>
  <si>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</si>
  <si>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</si>
  <si>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</si>
  <si>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</si>
  <si>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</si>
  <si>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</si>
  <si>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</si>
  <si>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</si>
  <si>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</si>
  <si>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</si>
  <si>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</si>
  <si>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</si>
  <si>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</si>
  <si>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</si>
  <si>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</si>
  <si>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</si>
  <si>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</si>
  <si>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</si>
  <si>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</si>
  <si>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</si>
  <si>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</si>
  <si>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</si>
  <si>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</si>
  <si>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</si>
  <si>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</si>
  <si>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</si>
  <si>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</si>
  <si>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</si>
  <si>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</si>
  <si>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</si>
  <si>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</si>
  <si>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</si>
  <si>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</si>
  <si>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</si>
  <si>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</si>
  <si>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</si>
  <si>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</si>
  <si>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</si>
  <si>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</si>
  <si>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</si>
  <si>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</si>
  <si>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</si>
  <si>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</si>
  <si>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</si>
  <si>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</si>
  <si>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</si>
  <si>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</si>
  <si>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</si>
  <si>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</si>
  <si>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</si>
  <si>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</si>
  <si>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</si>
  <si>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</si>
  <si>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</si>
  <si>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</si>
  <si>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</si>
  <si>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</si>
  <si>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</si>
  <si>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</si>
  <si>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</si>
  <si>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</si>
  <si>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</si>
  <si>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</si>
  <si>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</si>
  <si>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</si>
  <si>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</si>
  <si>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</si>
  <si>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</si>
  <si>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</si>
  <si>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</si>
  <si>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</si>
  <si>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</si>
  <si>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</si>
  <si>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</si>
  <si>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</si>
  <si>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</si>
  <si>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</si>
  <si>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</si>
  <si>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</si>
  <si>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</si>
  <si>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</si>
  <si>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</si>
  <si>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</si>
  <si>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</si>
  <si>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</si>
  <si>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</si>
  <si>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</si>
  <si>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</si>
  <si>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</si>
  <si>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</si>
  <si>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</si>
  <si>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</si>
  <si>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</si>
  <si>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</si>
  <si>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</si>
  <si>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</si>
  <si>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</si>
  <si>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</si>
  <si>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</si>
  <si>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</si>
  <si>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</si>
  <si>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</si>
  <si>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</si>
  <si>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</si>
  <si>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</si>
  <si>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</si>
  <si>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</si>
  <si>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</si>
  <si>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</si>
  <si>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</si>
  <si>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</si>
  <si>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</si>
  <si>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</si>
  <si>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</si>
  <si>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</si>
  <si>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</si>
  <si>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</si>
  <si>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</si>
  <si>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</si>
  <si>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</si>
  <si>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</si>
  <si>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</si>
  <si>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</si>
  <si>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</si>
  <si>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</si>
  <si>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</si>
  <si>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</si>
  <si>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</si>
  <si>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</si>
  <si>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</si>
  <si>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</si>
  <si>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</si>
  <si>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</si>
  <si>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</si>
  <si>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</si>
  <si>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</si>
  <si>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</si>
  <si>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</si>
  <si>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</si>
  <si>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</si>
  <si>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</si>
  <si>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</si>
  <si>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</si>
  <si>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</si>
  <si>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</si>
  <si>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</si>
  <si>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</si>
  <si>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</si>
  <si>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</si>
  <si>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</si>
  <si>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</si>
  <si>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</si>
  <si>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</si>
  <si>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</si>
  <si>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</si>
  <si>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</si>
  <si>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</si>
  <si>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</si>
  <si>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</si>
  <si>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</si>
  <si>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</si>
  <si>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</si>
  <si>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</si>
  <si>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</si>
  <si>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</si>
  <si>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</si>
  <si>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</si>
  <si>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</si>
  <si>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</si>
  <si>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</si>
  <si>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</si>
  <si>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</si>
  <si>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</si>
  <si>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</si>
  <si>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</si>
  <si>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</si>
  <si>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</si>
  <si>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</si>
  <si>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</si>
  <si>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</si>
  <si>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</si>
  <si>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</si>
  <si>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</si>
  <si>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</si>
  <si>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</si>
  <si>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</si>
  <si>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</si>
  <si>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</si>
  <si>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</si>
  <si>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</si>
  <si>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</si>
  <si>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</si>
  <si>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</si>
  <si>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</si>
  <si>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</si>
  <si>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</si>
  <si>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</si>
  <si>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</si>
  <si>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</si>
  <si>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</si>
  <si>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</si>
  <si>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</si>
  <si>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</si>
  <si>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</si>
  <si>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</si>
  <si>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</si>
  <si>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</si>
  <si>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</si>
  <si>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</si>
  <si>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</si>
  <si>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</si>
  <si>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</si>
  <si>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</si>
  <si>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</si>
  <si>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</si>
  <si>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</si>
  <si>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</si>
  <si>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</si>
  <si>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</si>
  <si>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</si>
  <si>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</si>
  <si>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</si>
  <si>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</si>
  <si>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</si>
  <si>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</si>
  <si>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</si>
  <si>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</si>
  <si>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</si>
  <si>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</si>
  <si>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</si>
  <si>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</si>
  <si>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</si>
  <si>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</si>
  <si>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</si>
  <si>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</si>
  <si>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</si>
  <si>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</si>
  <si>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</si>
  <si>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</si>
  <si>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</si>
  <si>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</si>
  <si>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</si>
  <si>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</si>
  <si>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</si>
  <si>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</si>
  <si>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</si>
  <si>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</si>
  <si>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</si>
  <si>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</si>
  <si>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</si>
  <si>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</si>
  <si>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</si>
  <si>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</si>
  <si>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</si>
  <si>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</si>
  <si>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</si>
  <si>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</si>
  <si>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</si>
  <si>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</si>
  <si>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</si>
  <si>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</si>
  <si>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</si>
  <si>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</si>
  <si>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</si>
  <si>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</si>
  <si>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</si>
  <si>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</si>
  <si>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</si>
  <si>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</si>
  <si>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</si>
  <si>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</si>
  <si>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</si>
  <si>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</si>
  <si>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</si>
  <si>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</si>
  <si>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</si>
  <si>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</si>
  <si>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</si>
  <si>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</si>
  <si>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</si>
  <si>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</si>
  <si>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</si>
  <si>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</si>
  <si>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</si>
  <si>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</si>
  <si>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</si>
  <si>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</si>
  <si>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</si>
  <si>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</si>
  <si>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</si>
  <si>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</si>
  <si>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</si>
  <si>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</si>
  <si>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</si>
  <si>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</si>
  <si>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</si>
  <si>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</si>
  <si>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</si>
  <si>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</si>
  <si>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</si>
  <si>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</si>
  <si>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</si>
  <si>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</si>
  <si>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</si>
  <si>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</si>
  <si>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</si>
  <si>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</si>
  <si>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</si>
  <si>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</si>
  <si>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</si>
  <si>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</si>
  <si>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</si>
  <si>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</si>
  <si>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</si>
  <si>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</si>
  <si>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</si>
  <si>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</si>
  <si>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</si>
  <si>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</si>
  <si>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</si>
  <si>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</si>
  <si>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</si>
  <si>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</si>
  <si>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</si>
  <si>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</si>
  <si>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</si>
  <si>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</si>
  <si>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</si>
  <si>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</si>
  <si>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</si>
  <si>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</si>
  <si>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</si>
  <si>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</si>
  <si>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</si>
  <si>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</si>
  <si>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</si>
  <si>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</si>
  <si>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</si>
  <si>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</si>
  <si>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</si>
  <si>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</si>
  <si>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</si>
  <si>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</si>
  <si>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</si>
  <si>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</si>
  <si>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</si>
  <si>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</si>
  <si>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</si>
  <si>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</si>
  <si>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</si>
  <si>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</si>
  <si>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</si>
  <si>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</si>
  <si>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</si>
  <si>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</si>
  <si>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</si>
  <si>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</si>
  <si>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</si>
  <si>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</si>
  <si>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</si>
  <si>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</si>
  <si>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</si>
  <si>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</si>
  <si>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</si>
  <si>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</si>
  <si>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</si>
  <si>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</si>
  <si>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</si>
  <si>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</si>
  <si>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</si>
  <si>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</si>
  <si>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</si>
  <si>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</si>
  <si>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</si>
  <si>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</si>
  <si>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</si>
  <si>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</si>
  <si>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</si>
  <si>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</si>
  <si>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</si>
  <si>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</si>
  <si>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</si>
  <si>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</si>
  <si>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</si>
  <si>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</si>
  <si>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</si>
  <si>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</si>
  <si>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</si>
  <si>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</si>
  <si>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</si>
  <si>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</si>
  <si>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</si>
  <si>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</si>
  <si>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</si>
  <si>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</si>
  <si>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</si>
  <si>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</si>
  <si>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</si>
  <si>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</si>
  <si>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</si>
  <si>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</si>
  <si>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</si>
  <si>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</si>
  <si>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</si>
  <si>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</si>
  <si>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</si>
  <si>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</si>
  <si>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</si>
  <si>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</si>
  <si>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</si>
  <si>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</si>
  <si>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</si>
  <si>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</si>
  <si>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</si>
  <si>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</si>
  <si>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</si>
  <si>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</si>
  <si>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</si>
  <si>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</si>
  <si>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</si>
  <si>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</si>
  <si>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</si>
  <si>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</si>
  <si>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</si>
  <si>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</si>
  <si>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</si>
  <si>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</si>
  <si>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</si>
  <si>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</si>
  <si>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</si>
  <si>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</si>
  <si>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</si>
  <si>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</si>
  <si>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</si>
  <si>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</si>
  <si>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</si>
  <si>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</si>
  <si>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</si>
  <si>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</si>
  <si>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</si>
  <si>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</si>
  <si>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</si>
  <si>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</si>
  <si>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</si>
  <si>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</si>
  <si>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</si>
  <si>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</si>
  <si>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</si>
  <si>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</si>
  <si>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</si>
  <si>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</si>
  <si>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</si>
  <si>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</si>
  <si>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</si>
  <si>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</si>
  <si>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</si>
  <si>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</si>
  <si>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</si>
  <si>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</si>
  <si>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</si>
  <si>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</si>
  <si>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</si>
  <si>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</si>
  <si>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</si>
  <si>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</si>
  <si>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</si>
  <si>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</si>
  <si>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</si>
  <si>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</si>
  <si>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</si>
  <si>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</si>
  <si>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</si>
  <si>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</si>
  <si>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</si>
  <si>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</si>
  <si>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</si>
  <si>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</si>
  <si>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</si>
  <si>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</si>
  <si>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</si>
  <si>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</si>
  <si>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</si>
  <si>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</si>
  <si>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</si>
  <si>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</si>
  <si>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</si>
  <si>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</si>
  <si>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</si>
  <si>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</si>
  <si>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</si>
  <si>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</si>
  <si>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</si>
  <si>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</si>
  <si>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</si>
  <si>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</si>
  <si>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</si>
  <si>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</si>
  <si>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</si>
  <si>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</si>
  <si>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</si>
  <si>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</si>
  <si>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</si>
  <si>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</si>
  <si>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</si>
  <si>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</si>
  <si>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</si>
  <si>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</si>
  <si>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</si>
  <si>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</si>
  <si>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</si>
  <si>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</si>
  <si>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</si>
  <si>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</si>
  <si>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</si>
  <si>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</si>
  <si>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</si>
  <si>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</si>
  <si>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</si>
  <si>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</si>
  <si>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</si>
  <si>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</si>
  <si>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</si>
  <si>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</si>
  <si>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</si>
  <si>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</si>
  <si>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</si>
  <si>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</si>
  <si>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</si>
  <si>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</si>
  <si>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</si>
  <si>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</si>
  <si>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</si>
  <si>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</si>
  <si>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</si>
  <si>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</si>
  <si>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</si>
  <si>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</si>
  <si>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</si>
  <si>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</si>
  <si>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</si>
  <si>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</si>
  <si>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</si>
  <si>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</si>
  <si>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</si>
  <si>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</si>
  <si>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</si>
  <si>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</si>
  <si>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</si>
  <si>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</si>
  <si>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</si>
  <si>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</si>
  <si>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</si>
  <si>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</si>
  <si>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</si>
  <si>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</si>
  <si>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</si>
  <si>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</si>
  <si>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</si>
  <si>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</si>
  <si>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</si>
  <si>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</si>
  <si>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</si>
  <si>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</si>
  <si>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</si>
  <si>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</si>
  <si>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</si>
  <si>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</si>
  <si>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</si>
  <si>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</si>
  <si>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</si>
  <si>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</si>
  <si>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</si>
  <si>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</si>
  <si>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</si>
  <si>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</si>
  <si>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</si>
  <si>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</si>
  <si>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</si>
  <si>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</si>
  <si>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</si>
  <si>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</si>
  <si>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</si>
  <si>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</si>
  <si>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</si>
  <si>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</si>
  <si>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</si>
  <si>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</si>
  <si>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</si>
  <si>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</si>
  <si>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</si>
  <si>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</si>
  <si>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</si>
  <si>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</si>
  <si>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</si>
  <si>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</si>
  <si>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</si>
  <si>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</si>
  <si>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</si>
  <si>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</si>
  <si>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</si>
  <si>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</si>
  <si>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</si>
  <si>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</si>
  <si>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</si>
  <si>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</si>
  <si>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</si>
  <si>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</si>
  <si>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</si>
  <si>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</si>
  <si>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</si>
  <si>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</si>
  <si>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</si>
  <si>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</si>
  <si>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</si>
  <si>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</si>
  <si>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</si>
  <si>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</si>
  <si>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</si>
  <si>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</si>
  <si>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</si>
  <si>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</si>
  <si>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</si>
  <si>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</si>
  <si>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</si>
  <si>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</si>
  <si>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</si>
  <si>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</si>
  <si>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</si>
  <si>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</si>
  <si>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</si>
  <si>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</si>
  <si>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</si>
  <si>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</si>
  <si>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</si>
  <si>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</si>
  <si>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</si>
  <si>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</si>
  <si>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</si>
  <si>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</si>
  <si>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</si>
  <si>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</si>
  <si>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</si>
  <si>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</si>
  <si>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</si>
  <si>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</si>
  <si>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</si>
  <si>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</si>
  <si>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</si>
  <si>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</si>
  <si>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</si>
  <si>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</si>
  <si>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</si>
  <si>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</si>
  <si>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</si>
  <si>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</si>
  <si>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</si>
  <si>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</si>
  <si>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</si>
  <si>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</si>
  <si>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</si>
  <si>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</si>
  <si>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</si>
  <si>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</si>
  <si>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</si>
  <si>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</si>
  <si>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</si>
  <si>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</si>
  <si>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</si>
  <si>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</si>
  <si>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</si>
  <si>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</si>
  <si>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</si>
  <si>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</si>
  <si>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</si>
  <si>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</si>
  <si>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</si>
  <si>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</si>
  <si>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</si>
  <si>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</si>
  <si>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</si>
  <si>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</si>
  <si>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</si>
  <si>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</si>
  <si>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</si>
  <si>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</si>
  <si>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</si>
  <si>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</si>
  <si>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</si>
  <si>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</si>
  <si>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</si>
  <si>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</si>
  <si>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</si>
  <si>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</si>
  <si>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</si>
  <si>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</si>
  <si>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</si>
  <si>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</si>
  <si>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</si>
  <si>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</si>
  <si>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</si>
  <si>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</si>
  <si>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</si>
  <si>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</si>
  <si>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</si>
  <si>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</si>
  <si>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</si>
  <si>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</si>
  <si>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</si>
  <si>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</si>
  <si>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</si>
  <si>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</si>
  <si>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</si>
  <si>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</si>
  <si>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</si>
  <si>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</si>
  <si>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</si>
  <si>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</si>
  <si>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</si>
  <si>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</si>
  <si>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</si>
  <si>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</si>
  <si>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</si>
  <si>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</si>
  <si>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</si>
  <si>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</si>
  <si>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</si>
  <si>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</si>
  <si>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</si>
  <si>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</si>
  <si>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</si>
  <si>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</si>
  <si>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</si>
  <si>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</si>
  <si>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</si>
  <si>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</si>
  <si>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</si>
  <si>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</si>
  <si>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</si>
  <si>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</si>
  <si>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</si>
  <si>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</si>
  <si>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</si>
  <si>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</si>
  <si>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</si>
  <si>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</si>
  <si>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</si>
  <si>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</si>
  <si>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</si>
  <si>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</si>
  <si>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</si>
  <si>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</si>
  <si>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</si>
  <si>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</si>
  <si>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</si>
  <si>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</si>
  <si>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</si>
  <si>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</si>
  <si>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</si>
  <si>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</si>
  <si>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</si>
  <si>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</si>
  <si>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</si>
  <si>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</si>
  <si>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</si>
  <si>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</si>
  <si>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</si>
  <si>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</si>
  <si>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</si>
  <si>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</si>
  <si>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</si>
  <si>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</si>
  <si>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</si>
  <si>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</si>
  <si>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</si>
  <si>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</si>
  <si>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</si>
  <si>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</si>
  <si>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</si>
  <si>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</si>
  <si>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</si>
  <si>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</si>
  <si>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</si>
  <si>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</si>
  <si>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</si>
  <si>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</si>
  <si>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</si>
  <si>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</si>
  <si>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</si>
  <si>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</si>
  <si>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</si>
  <si>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</si>
  <si>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</si>
  <si>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</si>
  <si>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</si>
  <si>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</si>
  <si>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</si>
  <si>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</si>
  <si>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</si>
  <si>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</si>
  <si>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</si>
  <si>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</si>
  <si>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</si>
  <si>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</si>
  <si>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</si>
  <si>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</si>
  <si>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</si>
  <si>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</si>
  <si>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</si>
  <si>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</si>
  <si>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</si>
  <si>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</si>
  <si>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</si>
  <si>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</si>
  <si>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</si>
  <si>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</si>
  <si>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</si>
  <si>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</si>
  <si>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</si>
  <si>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</si>
  <si>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</si>
  <si>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</si>
  <si>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</si>
  <si>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</si>
  <si>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</si>
  <si>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</si>
  <si>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</si>
  <si>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</si>
  <si>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</si>
  <si>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</si>
  <si>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</si>
  <si>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</si>
  <si>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</si>
  <si>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</si>
  <si>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</si>
  <si>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</si>
  <si>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</si>
  <si>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</si>
  <si>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</si>
  <si>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</si>
  <si>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</si>
  <si>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</si>
  <si>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</si>
  <si>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</si>
  <si>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</si>
  <si>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</si>
  <si>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</si>
  <si>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</si>
  <si>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</si>
  <si>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</si>
  <si>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</si>
  <si>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</si>
  <si>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</si>
  <si>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</si>
  <si>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</si>
  <si>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</si>
  <si>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</si>
  <si>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</si>
  <si>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</si>
  <si>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</si>
  <si>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</si>
  <si>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</si>
  <si>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</si>
  <si>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</si>
  <si>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</si>
  <si>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</si>
  <si>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</si>
  <si>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</si>
  <si>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</si>
  <si>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</si>
  <si>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</si>
  <si>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</si>
  <si>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</si>
  <si>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</si>
  <si>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</si>
  <si>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</si>
  <si>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</si>
  <si>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</si>
  <si>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</si>
  <si>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</si>
  <si>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</si>
  <si>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</si>
  <si>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</si>
  <si>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</si>
  <si>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</si>
  <si>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</si>
  <si>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</si>
  <si>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</si>
  <si>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</si>
  <si>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</si>
  <si>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</si>
  <si>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</si>
  <si>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</si>
  <si>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</si>
  <si>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</si>
  <si>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</si>
  <si>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</si>
  <si>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</si>
  <si>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</si>
  <si>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</si>
  <si>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</si>
  <si>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</si>
  <si>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</si>
  <si>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</si>
  <si>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</si>
  <si>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</si>
  <si>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</si>
  <si>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</si>
  <si>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</si>
  <si>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</si>
  <si>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</si>
  <si>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</si>
  <si>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</si>
  <si>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</si>
  <si>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</si>
  <si>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</si>
  <si>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</si>
  <si>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</si>
  <si>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</si>
  <si>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</si>
  <si>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</si>
  <si>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</si>
  <si>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</si>
  <si>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</si>
  <si>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</si>
  <si>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</si>
  <si>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</si>
  <si>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</si>
  <si>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</si>
  <si>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</si>
  <si>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</si>
  <si>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</si>
  <si>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</si>
  <si>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</si>
  <si>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</si>
  <si>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</si>
  <si>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</si>
  <si>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</si>
  <si>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</si>
  <si>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</si>
  <si>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</si>
  <si>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</si>
  <si>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</si>
  <si>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</si>
  <si>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</si>
  <si>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</si>
  <si>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</si>
  <si>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</si>
  <si>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</si>
  <si>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</si>
  <si>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</si>
  <si>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</si>
  <si>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</si>
  <si>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</si>
  <si>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</si>
  <si>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</si>
  <si>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</si>
  <si>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</si>
  <si>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</si>
  <si>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</si>
  <si>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</si>
  <si>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</si>
  <si>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</si>
  <si>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</si>
  <si>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</si>
  <si>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</si>
  <si>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</si>
  <si>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</si>
  <si>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</si>
  <si>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</si>
  <si>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</si>
  <si>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</si>
  <si>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</si>
  <si>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</si>
  <si>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</si>
  <si>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</si>
  <si>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</si>
  <si>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</si>
  <si>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</si>
  <si>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</si>
  <si>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</si>
  <si>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</si>
  <si>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</si>
  <si>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</si>
  <si>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</si>
  <si>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</si>
  <si>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</si>
  <si>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</si>
  <si>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</si>
  <si>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</si>
  <si>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</si>
  <si>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</si>
  <si>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</si>
  <si>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</si>
  <si>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</si>
  <si>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</si>
  <si>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</si>
  <si>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</si>
  <si>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</si>
  <si>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</si>
  <si>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</si>
  <si>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</si>
  <si>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</si>
  <si>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</si>
  <si>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</si>
  <si>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</si>
  <si>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</si>
  <si>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</si>
  <si>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</si>
  <si>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</si>
  <si>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</si>
  <si>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</si>
  <si>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</si>
  <si>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</si>
  <si>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</si>
  <si>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</si>
  <si>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</si>
  <si>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</si>
  <si>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</si>
  <si>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</si>
  <si>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</si>
  <si>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</si>
  <si>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</si>
  <si>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</si>
  <si>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</si>
  <si>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</si>
  <si>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</si>
  <si>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</si>
  <si>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</si>
  <si>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</si>
  <si>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</si>
  <si>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</si>
  <si>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</si>
  <si>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</si>
  <si>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</si>
  <si>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</si>
  <si>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</si>
  <si>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</si>
  <si>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</si>
  <si>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</si>
  <si>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</si>
  <si>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</si>
  <si>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</si>
  <si>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</si>
  <si>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</si>
  <si>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</si>
  <si>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</si>
  <si>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</si>
  <si>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</si>
  <si>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</si>
  <si>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</si>
  <si>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</si>
  <si>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</si>
  <si>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</si>
  <si>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</si>
  <si>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</si>
  <si>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</si>
  <si>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</si>
  <si>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</si>
  <si>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</si>
  <si>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</si>
  <si>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</si>
  <si>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</si>
  <si>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</si>
  <si>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</si>
  <si>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</si>
  <si>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</si>
  <si>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</si>
  <si>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</si>
  <si>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</si>
  <si>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</si>
  <si>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</si>
  <si>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</si>
  <si>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</si>
  <si>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</si>
  <si>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</si>
  <si>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</si>
  <si>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</si>
  <si>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</si>
  <si>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</si>
  <si>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</si>
  <si>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</si>
  <si>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</si>
  <si>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</si>
  <si>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</si>
  <si>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</si>
  <si>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</si>
  <si>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</si>
  <si>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</si>
  <si>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</si>
  <si>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</si>
  <si>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</si>
  <si>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</si>
  <si>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</si>
  <si>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</si>
  <si>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</si>
  <si>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</si>
  <si>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</si>
  <si>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</si>
  <si>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</si>
  <si>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</si>
  <si>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</si>
  <si>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</si>
  <si>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</si>
  <si>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</si>
  <si>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</si>
  <si>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</si>
  <si>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</si>
  <si>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</si>
  <si>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</si>
  <si>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</si>
  <si>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</si>
  <si>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</si>
  <si>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</si>
  <si>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</si>
  <si>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</si>
  <si>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</si>
  <si>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</si>
  <si>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</si>
  <si>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</si>
  <si>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</si>
  <si>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</si>
  <si>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</si>
  <si>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</si>
  <si>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</si>
  <si>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</si>
  <si>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</si>
  <si>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</si>
  <si>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</si>
  <si>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</si>
  <si>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</si>
  <si>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</si>
  <si>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</si>
  <si>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</si>
  <si>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</si>
  <si>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</si>
  <si>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</si>
  <si>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</si>
  <si>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</si>
  <si>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</si>
  <si>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</si>
  <si>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</si>
  <si>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</si>
  <si>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</si>
  <si>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</si>
  <si>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</si>
  <si>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</si>
  <si>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</si>
  <si>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</si>
  <si>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</si>
  <si>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</si>
  <si>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</si>
  <si>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</si>
  <si>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</si>
  <si>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</si>
  <si>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</si>
  <si>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</si>
  <si>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</si>
  <si>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</si>
  <si>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</si>
  <si>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</si>
  <si>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</si>
  <si>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</si>
  <si>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</si>
  <si>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</si>
  <si>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</si>
  <si>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</si>
  <si>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</si>
  <si>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</si>
  <si>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</si>
  <si>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</si>
  <si>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</si>
  <si>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</si>
  <si>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</si>
  <si>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</si>
  <si>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</si>
  <si>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</si>
  <si>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</si>
  <si>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</si>
  <si>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</si>
  <si>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</si>
  <si>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</si>
  <si>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</si>
  <si>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</si>
  <si>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</si>
  <si>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</si>
  <si>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</si>
  <si>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</si>
  <si>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</si>
  <si>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</si>
  <si>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</si>
  <si>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</si>
  <si>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</si>
  <si>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</si>
  <si>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</si>
  <si>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</si>
  <si>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</si>
  <si>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</si>
  <si>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</si>
  <si>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</si>
  <si>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</si>
  <si>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</si>
  <si>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</si>
  <si>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</si>
  <si>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</si>
  <si>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</si>
  <si>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</si>
  <si>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</si>
  <si>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</si>
  <si>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</si>
  <si>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</si>
  <si>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</si>
  <si>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</si>
  <si>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</si>
  <si>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</si>
  <si>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</si>
  <si>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</si>
  <si>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</si>
  <si>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</si>
  <si>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</si>
  <si>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</si>
  <si>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</si>
  <si>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</si>
  <si>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</si>
  <si>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</si>
  <si>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</si>
  <si>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</si>
  <si>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</si>
  <si>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</si>
  <si>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</si>
  <si>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</si>
  <si>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</si>
  <si>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</si>
  <si>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</si>
  <si>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</si>
  <si>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</si>
  <si>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</si>
  <si>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</si>
  <si>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</si>
  <si>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</si>
  <si>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</si>
  <si>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</si>
  <si>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</si>
  <si>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</si>
  <si>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</si>
  <si>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</si>
  <si>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</si>
  <si>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</si>
  <si>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</si>
  <si>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</si>
  <si>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</si>
  <si>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</si>
  <si>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</si>
  <si>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</si>
  <si>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</si>
  <si>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</si>
  <si>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</si>
  <si>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</si>
  <si>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</si>
  <si>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</si>
  <si>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</si>
  <si>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</si>
  <si>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</si>
  <si>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</si>
  <si>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</si>
  <si>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</si>
  <si>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</si>
  <si>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</si>
  <si>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</si>
  <si>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</si>
  <si>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</si>
  <si>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</si>
  <si>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</si>
  <si>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</si>
  <si>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</si>
  <si>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</si>
  <si>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</si>
  <si>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</si>
  <si>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</si>
  <si>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</si>
  <si>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</si>
  <si>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</si>
  <si>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</si>
  <si>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</si>
  <si>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</si>
  <si>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</si>
  <si>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</si>
  <si>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</si>
  <si>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</si>
  <si>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</si>
  <si>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</si>
  <si>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</si>
  <si>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</si>
  <si>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</si>
  <si>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</si>
  <si>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</si>
  <si>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</si>
  <si>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</si>
  <si>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</si>
  <si>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</si>
  <si>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</si>
  <si>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</si>
  <si>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</si>
  <si>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</si>
  <si>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</si>
  <si>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</si>
  <si>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</si>
  <si>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</si>
  <si>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</si>
  <si>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</si>
  <si>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</si>
  <si>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</si>
  <si>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</si>
  <si>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</si>
  <si>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</si>
  <si>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</si>
  <si>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</si>
  <si>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</si>
  <si>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</si>
  <si>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</si>
  <si>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</si>
  <si>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</si>
  <si>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</si>
  <si>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</si>
  <si>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</si>
  <si>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</si>
  <si>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</si>
  <si>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</si>
  <si>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</si>
  <si>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</si>
  <si>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</si>
  <si>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</si>
  <si>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</si>
  <si>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</si>
  <si>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</si>
  <si>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</si>
  <si>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</si>
  <si>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</si>
  <si>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</si>
  <si>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</si>
  <si>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</si>
  <si>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</si>
  <si>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</si>
  <si>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</si>
  <si>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</si>
  <si>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</si>
  <si>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</si>
  <si>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</si>
  <si>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</si>
  <si>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</si>
  <si>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</si>
  <si>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</si>
  <si>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</si>
  <si>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</si>
  <si>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</si>
  <si>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</si>
  <si>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</si>
  <si>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</si>
  <si>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</si>
  <si>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</si>
  <si>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</si>
  <si>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</si>
  <si>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</si>
  <si>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</si>
  <si>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</si>
  <si>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</si>
  <si>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</si>
  <si>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</si>
  <si>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</si>
  <si>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</si>
  <si>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</si>
  <si>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</si>
  <si>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</si>
  <si>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</si>
  <si>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</si>
  <si>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</si>
  <si>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</si>
  <si>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</si>
  <si>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</si>
  <si>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</si>
  <si>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</si>
  <si>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</si>
  <si>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</si>
  <si>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</si>
  <si>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</si>
  <si>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</si>
  <si>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</si>
  <si>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</si>
  <si>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</si>
  <si>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</si>
  <si>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</si>
  <si>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</si>
  <si>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</si>
  <si>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</si>
  <si>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</si>
  <si>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</si>
  <si>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</si>
  <si>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</si>
  <si>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</si>
  <si>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</si>
  <si>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</si>
  <si>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</si>
  <si>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ベース_患者基本データ</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</si>
  <si>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</si>
  <si>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</si>
  <si>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</si>
  <si>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</si>
  <si>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</si>
  <si>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</si>
  <si>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ベース_DPC調査データ_様式1_診断情報_併存症</t>
    <phoneticPr fontId="9"/>
  </si>
  <si>
    <t>ベース_DPC調査データ_様式1_診断情報_続発症</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</si>
  <si>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</si>
  <si>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</si>
  <si>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</si>
  <si>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</si>
  <si>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</si>
  <si>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</si>
  <si>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</si>
  <si>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</si>
  <si>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</si>
  <si>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</si>
  <si>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</si>
  <si>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</si>
  <si>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</si>
  <si>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</si>
  <si>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</si>
  <si>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</si>
  <si>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</si>
  <si>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</si>
  <si>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</si>
  <si>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</si>
  <si>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</si>
  <si>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</si>
  <si>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</si>
  <si>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</si>
  <si>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</si>
  <si>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</si>
  <si>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</si>
  <si>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</si>
  <si>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</si>
  <si>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</si>
  <si>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</si>
  <si>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</si>
  <si>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</si>
  <si>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</si>
  <si>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</si>
  <si>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</si>
  <si>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</si>
  <si>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</si>
  <si>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</si>
  <si>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</si>
  <si>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</si>
  <si>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</si>
  <si>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</si>
  <si>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</si>
  <si>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</si>
  <si>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</si>
  <si>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</si>
  <si>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</si>
  <si>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</si>
  <si>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</si>
  <si>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</si>
  <si>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</si>
  <si>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</si>
  <si>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</si>
  <si>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</si>
  <si>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</si>
  <si>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</si>
  <si>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</si>
  <si>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</si>
  <si>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</si>
  <si>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</si>
  <si>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</si>
  <si>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</si>
  <si>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</si>
  <si>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</si>
  <si>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</si>
  <si>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</si>
  <si>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</si>
  <si>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</si>
  <si>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</si>
  <si>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</si>
  <si>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</si>
  <si>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</si>
  <si>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</si>
  <si>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</si>
  <si>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</si>
  <si>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</si>
  <si>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</si>
  <si>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</si>
  <si>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</si>
  <si>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</si>
  <si>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</si>
  <si>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</si>
  <si>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</si>
  <si>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</si>
  <si>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</si>
  <si>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</si>
  <si>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</si>
  <si>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</si>
  <si>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</si>
  <si>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</si>
  <si>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</si>
  <si>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</si>
  <si>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</si>
  <si>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</si>
  <si>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</si>
  <si>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</si>
  <si>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</si>
  <si>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</si>
  <si>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</si>
  <si>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</si>
  <si>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</si>
  <si>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</si>
  <si>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</si>
  <si>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</si>
  <si>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</si>
  <si>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</si>
  <si>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</si>
  <si>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</si>
  <si>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</si>
  <si>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</si>
  <si>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</si>
  <si>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</si>
  <si>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</si>
  <si>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</si>
  <si>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</si>
  <si>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</si>
  <si>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</si>
  <si>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</si>
  <si>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</si>
  <si>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</si>
  <si>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</si>
  <si>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</si>
  <si>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</si>
  <si>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</si>
  <si>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</si>
  <si>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</si>
  <si>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</si>
  <si>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</si>
  <si>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</si>
  <si>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</si>
  <si>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</si>
  <si>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</si>
  <si>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</si>
  <si>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</si>
  <si>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</si>
  <si>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</si>
  <si>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</si>
  <si>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</si>
  <si>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</si>
  <si>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</si>
  <si>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</si>
  <si>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</si>
  <si>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</si>
  <si>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</si>
  <si>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</si>
  <si>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</si>
  <si>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</si>
  <si>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</si>
  <si>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</si>
  <si>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</si>
  <si>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</si>
  <si>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</si>
  <si>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</si>
  <si>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</si>
  <si>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</si>
  <si>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</si>
  <si>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</si>
  <si>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</si>
  <si>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</si>
  <si>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</si>
  <si>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</si>
  <si>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</si>
  <si>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</si>
  <si>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</si>
  <si>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</si>
  <si>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</si>
  <si>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</si>
  <si>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</si>
  <si>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</si>
  <si>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</si>
  <si>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</si>
  <si>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</si>
  <si>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</si>
  <si>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</si>
  <si>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</si>
  <si>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</si>
  <si>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</si>
  <si>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</si>
  <si>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</si>
  <si>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</si>
  <si>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</si>
  <si>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</si>
  <si>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</si>
  <si>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</si>
  <si>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</si>
  <si>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</si>
  <si>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</si>
  <si>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</si>
  <si>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</si>
  <si>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</si>
  <si>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</si>
  <si>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</si>
  <si>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</si>
  <si>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</si>
  <si>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</si>
  <si>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</si>
  <si>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</si>
  <si>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</si>
  <si>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</si>
  <si>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</si>
  <si>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</si>
  <si>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</si>
  <si>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</si>
  <si>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</si>
  <si>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</si>
  <si>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</si>
  <si>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</si>
  <si>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</si>
  <si>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</si>
  <si>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</si>
  <si>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</si>
  <si>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</si>
  <si>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</si>
  <si>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</si>
  <si>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</si>
  <si>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</si>
  <si>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</si>
  <si>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</si>
  <si>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</si>
  <si>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</si>
  <si>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</si>
  <si>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</si>
  <si>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</si>
  <si>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</si>
  <si>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</si>
  <si>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</si>
  <si>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</si>
  <si>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</si>
  <si>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</si>
  <si>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</si>
  <si>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</si>
  <si>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</si>
  <si>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</si>
  <si>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</si>
  <si>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</si>
  <si>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</si>
  <si>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</si>
  <si>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</si>
  <si>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</si>
  <si>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</si>
  <si>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</si>
  <si>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</si>
  <si>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</si>
  <si>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</si>
  <si>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</si>
  <si>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</si>
  <si>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</si>
  <si>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</si>
  <si>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</si>
  <si>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</si>
  <si>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</si>
  <si>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</si>
  <si>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</si>
  <si>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</si>
  <si>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</si>
  <si>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</si>
  <si>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</si>
  <si>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</si>
  <si>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</si>
  <si>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</si>
  <si>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</si>
  <si>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</si>
  <si>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</si>
  <si>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</si>
  <si>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</si>
  <si>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</si>
  <si>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</si>
  <si>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</si>
  <si>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</si>
  <si>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</si>
  <si>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</si>
  <si>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</si>
  <si>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</si>
  <si>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</si>
  <si>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</si>
  <si>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</si>
  <si>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</si>
  <si>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</si>
  <si>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</si>
  <si>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</si>
  <si>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</si>
  <si>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</si>
  <si>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</si>
  <si>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</si>
  <si>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</si>
  <si>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</si>
  <si>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</si>
  <si>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</si>
  <si>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</si>
  <si>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</si>
  <si>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</si>
  <si>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</si>
  <si>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</si>
  <si>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</si>
  <si>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</si>
  <si>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</si>
  <si>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</si>
  <si>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</si>
  <si>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</si>
  <si>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</si>
  <si>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</si>
  <si>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</si>
  <si>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</si>
  <si>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</si>
  <si>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</si>
  <si>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</si>
  <si>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</si>
  <si>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</si>
  <si>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</si>
  <si>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</si>
  <si>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</si>
  <si>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</si>
  <si>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</si>
  <si>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</si>
  <si>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</si>
  <si>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</si>
  <si>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</si>
  <si>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</si>
  <si>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</si>
  <si>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</si>
  <si>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</si>
  <si>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</si>
  <si>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</si>
  <si>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</si>
  <si>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</si>
  <si>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</si>
  <si>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</si>
  <si>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</si>
  <si>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</si>
  <si>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</si>
  <si>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</si>
  <si>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</si>
  <si>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</si>
  <si>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</si>
  <si>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</si>
  <si>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</si>
  <si>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</si>
  <si>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</si>
  <si>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</si>
  <si>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</si>
  <si>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</si>
  <si>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</si>
  <si>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</si>
  <si>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</si>
  <si>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</si>
  <si>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</si>
  <si>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</si>
  <si>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ベース_経過記録情報モジュール_経過記録情報レコード</t>
    <phoneticPr fontId="9"/>
  </si>
  <si>
    <t>ベース_経過記録情報モジュール_アセスメントレコード</t>
    <phoneticPr fontId="9"/>
  </si>
  <si>
    <t>ベース_経過記録情報モジュール_外部参照レコード</t>
    <phoneticPr fontId="9"/>
  </si>
  <si>
    <t>エンティティ一覧</t>
    <phoneticPr fontId="9"/>
  </si>
  <si>
    <t>ベース_経過記録情報モジュール_プロブレムレコード</t>
    <phoneticPr fontId="9"/>
  </si>
  <si>
    <t>ベース_臨床サマリーモジュール_臨床サマリー情報レコード</t>
    <phoneticPr fontId="9"/>
  </si>
  <si>
    <t>ベース_臨床サマリーモジュール_経過記録レコード</t>
    <phoneticPr fontId="9"/>
  </si>
  <si>
    <t>エンティティ一覧</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</si>
  <si>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</si>
  <si>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</si>
  <si>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</si>
  <si>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</si>
  <si>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</si>
  <si>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</si>
  <si>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</si>
  <si>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</si>
  <si>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</si>
  <si>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</si>
  <si>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</si>
  <si>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</si>
  <si>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</si>
  <si>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</si>
  <si>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</si>
  <si>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</si>
  <si>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</si>
  <si>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</si>
  <si>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</si>
  <si>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</si>
  <si>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</si>
  <si>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</si>
  <si>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</si>
  <si>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</si>
  <si>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</si>
  <si>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</si>
  <si>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</si>
  <si>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</si>
  <si>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</si>
  <si>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</si>
  <si>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</si>
  <si>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</si>
  <si>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</si>
  <si>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</si>
  <si>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</si>
  <si>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</si>
  <si>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ENT_31_A1-04</t>
    <phoneticPr fontId="9"/>
  </si>
  <si>
    <t>バックアップ_処理対象施設マスタ</t>
    <rPh sb="7" eb="9">
      <t>ショリ</t>
    </rPh>
    <rPh sb="9" eb="11">
      <t>タイショウ</t>
    </rPh>
    <rPh sb="11" eb="13">
      <t>シセツ</t>
    </rPh>
    <phoneticPr fontId="9"/>
  </si>
  <si>
    <t>最新施設情報ビュー</t>
    <rPh sb="0" eb="2">
      <t>サイシン</t>
    </rPh>
    <rPh sb="2" eb="4">
      <t>シセツ</t>
    </rPh>
    <rPh sb="4" eb="6">
      <t>ジョウホウ</t>
    </rPh>
    <phoneticPr fontId="9"/>
  </si>
  <si>
    <t>milscm4</t>
    <phoneticPr fontId="9"/>
  </si>
  <si>
    <t>41_05</t>
    <phoneticPr fontId="9"/>
  </si>
  <si>
    <t>ワーク_疾患データ_MML</t>
    <rPh sb="4" eb="6">
      <t>シッカン</t>
    </rPh>
    <phoneticPr fontId="9"/>
  </si>
  <si>
    <t>ベース_MML_診断履歴情報モジュール_本文</t>
    <rPh sb="20" eb="22">
      <t>ホンブン</t>
    </rPh>
    <phoneticPr fontId="9"/>
  </si>
  <si>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</si>
  <si>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41_06</t>
    <phoneticPr fontId="9"/>
  </si>
  <si>
    <t>ベース_処方データ</t>
    <rPh sb="4" eb="6">
      <t>ショホウ</t>
    </rPh>
    <phoneticPr fontId="9"/>
  </si>
  <si>
    <t>41_07</t>
    <phoneticPr fontId="9"/>
  </si>
  <si>
    <t>ワーク_テキスト情報</t>
    <rPh sb="8" eb="10">
      <t>ジョウホウ</t>
    </rPh>
    <phoneticPr fontId="9"/>
  </si>
  <si>
    <t>MML薬剤マスタ</t>
    <rPh sb="3" eb="5">
      <t>ヤクザイ</t>
    </rPh>
    <phoneticPr fontId="9"/>
  </si>
  <si>
    <t>MML薬剤マスタ</t>
    <phoneticPr fontId="9"/>
  </si>
  <si>
    <t>ベース_DPC調査データ_様式1</t>
    <phoneticPr fontId="9"/>
  </si>
  <si>
    <t>統括診療情報番号</t>
    <phoneticPr fontId="9"/>
  </si>
  <si>
    <t>ベース_入院退院データ</t>
    <phoneticPr fontId="9"/>
  </si>
  <si>
    <t>ベース_臨床サマリーモジュール_入院レコード</t>
    <phoneticPr fontId="9"/>
  </si>
  <si>
    <t>ベース_臨床サマリーモジュール_外来受診レコード</t>
    <phoneticPr fontId="9"/>
  </si>
  <si>
    <t>41_08</t>
    <phoneticPr fontId="9"/>
  </si>
  <si>
    <t>41_09</t>
    <phoneticPr fontId="9"/>
  </si>
  <si>
    <t>ワーク_外来_DPC</t>
    <rPh sb="4" eb="6">
      <t>ガイライ</t>
    </rPh>
    <phoneticPr fontId="9"/>
  </si>
  <si>
    <t>ワーク_外来_MML</t>
    <rPh sb="4" eb="6">
      <t>ガイライ</t>
    </rPh>
    <phoneticPr fontId="9"/>
  </si>
  <si>
    <t>ベース_DPC調査データ_外来EF統合ファイル</t>
    <phoneticPr fontId="9"/>
  </si>
  <si>
    <t>ワーク_入院退院_DPC</t>
    <rPh sb="4" eb="8">
      <t>ニュウインタイイン</t>
    </rPh>
    <phoneticPr fontId="9"/>
  </si>
  <si>
    <t>ワーク_入院退院_MML</t>
    <rPh sb="4" eb="6">
      <t>ニュウイン</t>
    </rPh>
    <rPh sb="6" eb="8">
      <t>タイイン</t>
    </rPh>
    <phoneticPr fontId="9"/>
  </si>
  <si>
    <t>ワーク_入院退院</t>
    <rPh sb="4" eb="6">
      <t>ニュウイン</t>
    </rPh>
    <rPh sb="6" eb="8">
      <t>タイイン</t>
    </rPh>
    <phoneticPr fontId="9"/>
  </si>
  <si>
    <t>ワーク_入院退院_MML</t>
    <rPh sb="4" eb="8">
      <t>ニュウインタイイン</t>
    </rPh>
    <phoneticPr fontId="9"/>
  </si>
  <si>
    <t>41_10</t>
    <phoneticPr fontId="9"/>
  </si>
  <si>
    <t>41_11</t>
    <phoneticPr fontId="9"/>
  </si>
  <si>
    <t>41_12</t>
    <phoneticPr fontId="9"/>
  </si>
  <si>
    <t>ワーク_外来</t>
    <rPh sb="4" eb="6">
      <t>ガイライ</t>
    </rPh>
    <phoneticPr fontId="9"/>
  </si>
  <si>
    <t>ワーク_処方データ_DPC</t>
    <rPh sb="4" eb="6">
      <t>ショホウ</t>
    </rPh>
    <phoneticPr fontId="9"/>
  </si>
  <si>
    <t>41_13</t>
    <phoneticPr fontId="9"/>
  </si>
  <si>
    <t>ワーク_処方データ_MML</t>
    <rPh sb="4" eb="6">
      <t>ショホウ</t>
    </rPh>
    <phoneticPr fontId="9"/>
  </si>
  <si>
    <t>21_07</t>
    <phoneticPr fontId="9"/>
  </si>
  <si>
    <t>バックアップ_MML_処方箋モジュール_投薬</t>
    <rPh sb="11" eb="14">
      <t>ショホウセン</t>
    </rPh>
    <rPh sb="20" eb="22">
      <t>トウヤク</t>
    </rPh>
    <phoneticPr fontId="9"/>
  </si>
  <si>
    <t>バックアップ_MML_処方箋モジュール_薬剤</t>
    <rPh sb="11" eb="14">
      <t>ショホウセン</t>
    </rPh>
    <rPh sb="20" eb="22">
      <t>ヤクザイ</t>
    </rPh>
    <phoneticPr fontId="9"/>
  </si>
  <si>
    <t>21_08</t>
    <phoneticPr fontId="9"/>
  </si>
  <si>
    <t>薬剤コード一覧</t>
    <rPh sb="5" eb="7">
      <t>イチラン</t>
    </rPh>
    <phoneticPr fontId="9"/>
  </si>
  <si>
    <t>medicine_name</t>
    <phoneticPr fontId="9"/>
  </si>
  <si>
    <t>medicine_code_list</t>
    <phoneticPr fontId="9"/>
  </si>
  <si>
    <t>MML薬剤名一覧</t>
    <rPh sb="3" eb="5">
      <t>ヤクザイ</t>
    </rPh>
    <rPh sb="5" eb="6">
      <t>メイ</t>
    </rPh>
    <rPh sb="6" eb="8">
      <t>イチラン</t>
    </rPh>
    <phoneticPr fontId="9"/>
  </si>
  <si>
    <t>MML薬剤名一覧</t>
    <rPh sb="3" eb="5">
      <t>ヤクザイ</t>
    </rPh>
    <rPh sb="5" eb="8">
      <t>メイイチラン</t>
    </rPh>
    <phoneticPr fontId="9"/>
  </si>
  <si>
    <t>MML薬剤名一覧</t>
    <phoneticPr fontId="9"/>
  </si>
  <si>
    <t>[薬剤コード体系]-[薬剤コード]を薬剤コード体系の昇順に「_」で結合</t>
    <rPh sb="18" eb="20">
      <t>ヤクザイ</t>
    </rPh>
    <rPh sb="23" eb="25">
      <t>タイケイ</t>
    </rPh>
    <rPh sb="26" eb="28">
      <t>ショウジュン</t>
    </rPh>
    <rPh sb="33" eb="35">
      <t>ケツゴウヤクザイタイケイ</t>
    </rPh>
    <phoneticPr fontId="9"/>
  </si>
  <si>
    <t>MMLの処方テーブルから対象患者の薬剤名一覧を格納するテーブル</t>
    <phoneticPr fontId="9"/>
  </si>
  <si>
    <t>41_14</t>
    <phoneticPr fontId="9"/>
  </si>
  <si>
    <t>ワーク_診療行為データ</t>
    <phoneticPr fontId="9"/>
  </si>
  <si>
    <t>診療行為マスタ</t>
    <rPh sb="0" eb="4">
      <t>シンリョウコウイ</t>
    </rPh>
    <phoneticPr fontId="9"/>
  </si>
  <si>
    <t>診療行為マスタ</t>
    <phoneticPr fontId="9"/>
  </si>
  <si>
    <t>disp_name</t>
  </si>
  <si>
    <t>特異的IgE抗体
皮膚反応検査</t>
    <phoneticPr fontId="9"/>
  </si>
  <si>
    <t>21_09</t>
    <phoneticPr fontId="9"/>
  </si>
  <si>
    <t>診療行為マスタ.tsv</t>
    <phoneticPr fontId="9"/>
  </si>
  <si>
    <t>41_15</t>
    <phoneticPr fontId="9"/>
  </si>
  <si>
    <t>ワーク_検体検査データ</t>
    <rPh sb="4" eb="8">
      <t>ケンタイケンサ</t>
    </rPh>
    <phoneticPr fontId="9"/>
  </si>
  <si>
    <t>ベース_検歴情報モジュール_検歴検体材料</t>
    <phoneticPr fontId="9"/>
  </si>
  <si>
    <t>ベース_検歴情報モジュール_検歴項目情報</t>
    <phoneticPr fontId="9"/>
  </si>
  <si>
    <t>41_16</t>
    <phoneticPr fontId="9"/>
  </si>
  <si>
    <t>ワーク_検体検査データ_スキーマ4</t>
    <rPh sb="4" eb="8">
      <t>ケンタイケンサ</t>
    </rPh>
    <phoneticPr fontId="9"/>
  </si>
  <si>
    <t>ベース_MML_検歴情報モジュール_検体検査結果情報</t>
    <phoneticPr fontId="9"/>
  </si>
  <si>
    <t>ベース_MML_検歴情報モジュール_検査項目</t>
    <phoneticPr fontId="9"/>
  </si>
  <si>
    <t>41_17</t>
    <phoneticPr fontId="9"/>
  </si>
  <si>
    <t>ワーク_検体検査データ_スキーマ2</t>
    <rPh sb="4" eb="8">
      <t>ケンタイケンサ</t>
    </rPh>
    <phoneticPr fontId="9"/>
  </si>
  <si>
    <t>41_18_01</t>
    <phoneticPr fontId="9"/>
  </si>
  <si>
    <t>41_18_02</t>
    <phoneticPr fontId="9"/>
  </si>
  <si>
    <t>41_18_03</t>
    <phoneticPr fontId="9"/>
  </si>
  <si>
    <t>41_18_05</t>
    <phoneticPr fontId="9"/>
  </si>
  <si>
    <t>41_18_04</t>
    <phoneticPr fontId="9"/>
  </si>
  <si>
    <t>41_18_07</t>
    <phoneticPr fontId="9"/>
  </si>
  <si>
    <t>41_18_06</t>
    <phoneticPr fontId="9"/>
  </si>
  <si>
    <t>41_18_08</t>
    <phoneticPr fontId="9"/>
  </si>
  <si>
    <t>41_18_09</t>
    <phoneticPr fontId="9"/>
  </si>
  <si>
    <t>41_18_10</t>
    <phoneticPr fontId="9"/>
  </si>
  <si>
    <t>41_18_11</t>
    <phoneticPr fontId="9"/>
  </si>
  <si>
    <t>41_18_12</t>
    <phoneticPr fontId="9"/>
  </si>
  <si>
    <t>41_18_13</t>
    <phoneticPr fontId="9"/>
  </si>
  <si>
    <t>41_19</t>
    <phoneticPr fontId="9"/>
  </si>
  <si>
    <t>milscm_2023_009</t>
  </si>
  <si>
    <t>ワーク_疾患データ_MML</t>
    <phoneticPr fontId="9"/>
  </si>
  <si>
    <t>DPCの疾患データを格納するテーブル</t>
    <rPh sb="4" eb="6">
      <t>シッカン</t>
    </rPh>
    <phoneticPr fontId="9"/>
  </si>
  <si>
    <t>レセプトの疾患データを格納するテーブル</t>
    <rPh sb="5" eb="7">
      <t>シッカン</t>
    </rPh>
    <phoneticPr fontId="9"/>
  </si>
  <si>
    <t>MMLの疾患データを格納するテーブル</t>
    <rPh sb="4" eb="6">
      <t>シッカン</t>
    </rPh>
    <phoneticPr fontId="9"/>
  </si>
  <si>
    <t>ワーク_入院退院_DPC</t>
    <phoneticPr fontId="9"/>
  </si>
  <si>
    <t>ワーク_入院退院_MML</t>
    <phoneticPr fontId="9"/>
  </si>
  <si>
    <t>ワーク_入院退院</t>
    <phoneticPr fontId="9"/>
  </si>
  <si>
    <t>ワーク_外来_DPC</t>
    <phoneticPr fontId="9"/>
  </si>
  <si>
    <t>ワーク_外来_MML</t>
    <phoneticPr fontId="9"/>
  </si>
  <si>
    <t>ワーク_外来</t>
    <phoneticPr fontId="9"/>
  </si>
  <si>
    <t>ワーク_処方データ_DPC</t>
    <phoneticPr fontId="9"/>
  </si>
  <si>
    <t>ワーク_処方データ_MML</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</si>
  <si>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</si>
  <si>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</si>
  <si>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</si>
  <si>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</si>
  <si>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ワーク_テキスト情報</t>
    <phoneticPr fontId="9"/>
  </si>
  <si>
    <t>ワーク_入院退院_DPC</t>
    <phoneticPr fontId="9"/>
  </si>
  <si>
    <t>ワーク_疾患データ_MML</t>
    <phoneticPr fontId="9"/>
  </si>
  <si>
    <t>ワーク_入院退院_MML</t>
    <phoneticPr fontId="9"/>
  </si>
  <si>
    <t>DPCの入退院データを格納するテーブル</t>
    <rPh sb="4" eb="7">
      <t>ニュウタイイン</t>
    </rPh>
    <phoneticPr fontId="9"/>
  </si>
  <si>
    <t>MMLの入退院データを格納するテーブル</t>
    <rPh sb="4" eb="7">
      <t>ニュウタイイン</t>
    </rPh>
    <phoneticPr fontId="9"/>
  </si>
  <si>
    <t>ワーク_入院退院</t>
    <phoneticPr fontId="9"/>
  </si>
  <si>
    <t>入退院データを格納するテーブル</t>
    <rPh sb="0" eb="3">
      <t>ニュウタイイン</t>
    </rPh>
    <phoneticPr fontId="9"/>
  </si>
  <si>
    <t>gairai_ymd</t>
    <phoneticPr fontId="9"/>
  </si>
  <si>
    <t>外来年月日</t>
    <rPh sb="0" eb="2">
      <t>ガイライ</t>
    </rPh>
    <rPh sb="2" eb="5">
      <t>ネンガッピ</t>
    </rPh>
    <phoneticPr fontId="14"/>
  </si>
  <si>
    <t>ワーク_外来</t>
    <phoneticPr fontId="9"/>
  </si>
  <si>
    <t>ワーク_外来_MML</t>
    <phoneticPr fontId="9"/>
  </si>
  <si>
    <t>ワーク_外来_DPC</t>
    <phoneticPr fontId="9"/>
  </si>
  <si>
    <t>ワーク_処方データ_DPC</t>
    <phoneticPr fontId="9"/>
  </si>
  <si>
    <t>DPCの外来データを格納するテーブル</t>
    <rPh sb="4" eb="6">
      <t>ガイライ</t>
    </rPh>
    <phoneticPr fontId="9"/>
  </si>
  <si>
    <t>MMLの外来データを格納するテーブル</t>
    <rPh sb="4" eb="6">
      <t>ガイライ</t>
    </rPh>
    <phoneticPr fontId="9"/>
  </si>
  <si>
    <t>外来データを格納するテーブル</t>
    <rPh sb="0" eb="2">
      <t>ガイライ</t>
    </rPh>
    <phoneticPr fontId="9"/>
  </si>
  <si>
    <t>DPCの処方データを格納するテーブル</t>
    <rPh sb="4" eb="6">
      <t>ショホウ</t>
    </rPh>
    <phoneticPr fontId="9"/>
  </si>
  <si>
    <t>ワーク_処方データ_MML</t>
    <phoneticPr fontId="9"/>
  </si>
  <si>
    <t>MMLの処方データを格納するテーブル</t>
    <rPh sb="4" eb="6">
      <t>ショホウ</t>
    </rPh>
    <phoneticPr fontId="9"/>
  </si>
  <si>
    <t>診療行為データを格納するテーブル</t>
    <rPh sb="0" eb="4">
      <t>シンリョウコウイ</t>
    </rPh>
    <phoneticPr fontId="9"/>
  </si>
  <si>
    <t>MML（スキーマ2）の検体検査データを格納するテーブル</t>
    <rPh sb="11" eb="15">
      <t>ケンタイケンサ</t>
    </rPh>
    <phoneticPr fontId="9"/>
  </si>
  <si>
    <t>ワーク_検体検査データ_スキーマ2</t>
    <phoneticPr fontId="9"/>
  </si>
  <si>
    <t>MML（スキーマ4）の検体検査データを格納するテーブル</t>
    <rPh sb="11" eb="15">
      <t>ケンタイケンサ</t>
    </rPh>
    <phoneticPr fontId="9"/>
  </si>
  <si>
    <t>数値結果</t>
    <rPh sb="0" eb="2">
      <t>スウチ</t>
    </rPh>
    <phoneticPr fontId="1"/>
  </si>
  <si>
    <t>ワーク_検体検査データ_スキーマ4</t>
    <phoneticPr fontId="9"/>
  </si>
  <si>
    <t>日付</t>
    <rPh sb="0" eb="2">
      <t>ヒヅケ</t>
    </rPh>
    <phoneticPr fontId="14"/>
  </si>
  <si>
    <t>ワーク_検体検査データ</t>
    <phoneticPr fontId="9"/>
  </si>
  <si>
    <t>MMLの検体検査データを格納するテーブル</t>
    <rPh sb="4" eb="8">
      <t>ケンタイケンサ</t>
    </rPh>
    <phoneticPr fontId="9"/>
  </si>
  <si>
    <t>文字列</t>
    <rPh sb="0" eb="3">
      <t>モジレツ</t>
    </rPh>
    <phoneticPr fontId="31"/>
  </si>
  <si>
    <t>患者ID</t>
    <rPh sb="0" eb="2">
      <t>カンジャ</t>
    </rPh>
    <phoneticPr fontId="6"/>
  </si>
  <si>
    <t>モジュールSEQ</t>
  </si>
  <si>
    <t>module_seq</t>
  </si>
  <si>
    <t>モジュール名</t>
    <rPh sb="5" eb="6">
      <t>メイ</t>
    </rPh>
    <phoneticPr fontId="12"/>
  </si>
  <si>
    <t>source_module</t>
  </si>
  <si>
    <t>取得元テーブル名</t>
    <rPh sb="0" eb="3">
      <t>シュトクモト</t>
    </rPh>
    <rPh sb="7" eb="8">
      <t>メイ</t>
    </rPh>
    <phoneticPr fontId="12"/>
  </si>
  <si>
    <t>source_table</t>
  </si>
  <si>
    <t>取得元カラム名</t>
    <rPh sb="0" eb="2">
      <t>シュトク</t>
    </rPh>
    <rPh sb="2" eb="3">
      <t>モト</t>
    </rPh>
    <rPh sb="6" eb="7">
      <t>メイ</t>
    </rPh>
    <phoneticPr fontId="12"/>
  </si>
  <si>
    <t>source_column</t>
  </si>
  <si>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</si>
  <si>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</si>
  <si>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</si>
  <si>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</si>
  <si>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オリジナルテキスト</t>
  </si>
  <si>
    <t>original_text</t>
  </si>
  <si>
    <t>mmlPc:ProgressCourseModule単位に通番付与
mmlSm:SummaryModule単位に通番付与</t>
    <rPh sb="26" eb="28">
      <t>タンイ</t>
    </rPh>
    <rPh sb="29" eb="31">
      <t>ツウバン</t>
    </rPh>
    <rPh sb="31" eb="33">
      <t>フヨ</t>
    </rPh>
    <phoneticPr fontId="2"/>
  </si>
  <si>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</si>
  <si>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</si>
  <si>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</si>
  <si>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</si>
  <si>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</si>
  <si>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</si>
  <si>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</si>
  <si>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ワーク_テキスト情報_一時</t>
    <rPh sb="8" eb="10">
      <t>ジョウホウ</t>
    </rPh>
    <rPh sb="11" eb="13">
      <t>イチジ</t>
    </rPh>
    <phoneticPr fontId="9"/>
  </si>
  <si>
    <t>ワーク_テキスト情報_一時</t>
    <phoneticPr fontId="9"/>
  </si>
  <si>
    <t>テキスト連結番号</t>
    <rPh sb="4" eb="6">
      <t>レンケツ</t>
    </rPh>
    <rPh sb="6" eb="8">
      <t>バンゴウ</t>
    </rPh>
    <phoneticPr fontId="9"/>
  </si>
  <si>
    <t>link_no</t>
    <phoneticPr fontId="9"/>
  </si>
  <si>
    <t>全レコードの連番</t>
    <rPh sb="0" eb="1">
      <t>ゼン</t>
    </rPh>
    <rPh sb="6" eb="8">
      <t>レンバン</t>
    </rPh>
    <phoneticPr fontId="9"/>
  </si>
  <si>
    <t>テキスト重複SEQ</t>
    <rPh sb="4" eb="6">
      <t>チョウフク</t>
    </rPh>
    <phoneticPr fontId="12"/>
  </si>
  <si>
    <t>dup_text_seq</t>
  </si>
  <si>
    <t>mask_idでテキストに重複があった場合、comfirm_dateの昇順に連番を付与</t>
    <rPh sb="13" eb="15">
      <t>チョウフク</t>
    </rPh>
    <rPh sb="19" eb="21">
      <t>バアイ</t>
    </rPh>
    <rPh sb="35" eb="37">
      <t>ショウジュン</t>
    </rPh>
    <rPh sb="38" eb="40">
      <t>レンバン</t>
    </rPh>
    <rPh sb="41" eb="43">
      <t>フヨ</t>
    </rPh>
    <phoneticPr fontId="12"/>
  </si>
  <si>
    <t>MML薬剤名称と医薬品コードを紐づけるマスタ</t>
    <rPh sb="5" eb="7">
      <t>メイショウ</t>
    </rPh>
    <rPh sb="8" eb="11">
      <t>イヤクヒン</t>
    </rPh>
    <rPh sb="15" eb="16">
      <t>ヒモ</t>
    </rPh>
    <phoneticPr fontId="9"/>
  </si>
  <si>
    <t>医薬品コード</t>
    <phoneticPr fontId="9"/>
  </si>
  <si>
    <t>□Pc
progress_course, assessment, external_reference, problem
□Sm
summary, clinical_course</t>
    <phoneticPr fontId="9"/>
  </si>
  <si>
    <t>system</t>
    <phoneticPr fontId="9"/>
  </si>
  <si>
    <t>code</t>
    <phoneticPr fontId="9"/>
  </si>
  <si>
    <t>検体材料</t>
    <phoneticPr fontId="9"/>
  </si>
  <si>
    <t>報告状態</t>
    <phoneticPr fontId="9"/>
  </si>
  <si>
    <t>mml_type</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</si>
</sst>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4">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3" xfId="1" applyFont="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0" xfId="1" applyFont="1" applyBorder="1">
      <alignment vertical="center"/>
    </xf>
    <xf numFmtId="0" fontId="26" fillId="0" borderId="58" xfId="1" applyFont="1" applyBorder="1">
      <alignment vertical="center"/>
    </xf>
    <xf numFmtId="0" fontId="26" fillId="0" borderId="42" xfId="1" applyFont="1" applyBorder="1">
      <alignment vertical="center"/>
    </xf>
    <xf numFmtId="0" fontId="26" fillId="0" borderId="58" xfId="1" applyFont="1" applyFill="1" applyBorder="1">
      <alignment vertical="center"/>
    </xf>
    <xf numFmtId="0" fontId="26" fillId="0" borderId="0" xfId="1" applyFont="1" applyBorder="1" applyAlignment="1">
      <alignment vertical="center"/>
    </xf>
    <xf numFmtId="0" fontId="26" fillId="0" borderId="41" xfId="1" applyFont="1" applyFill="1" applyBorder="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43" xfId="8" applyFont="1" applyFill="1" applyBorder="1" applyAlignment="1">
      <alignment vertical="top" wrapText="1"/>
    </xf>
    <xf numFmtId="0" fontId="15" fillId="4" borderId="53" xfId="8" applyFont="1" applyFill="1" applyBorder="1" applyAlignment="1">
      <alignment vertical="top"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9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11" Type="http://schemas.openxmlformats.org/officeDocument/2006/relationships/worksheet" Target="worksheets/sheet21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calcChain" Target="calcChain.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19" Type="http://schemas.openxmlformats.org/officeDocument/2006/relationships/worksheet" Target="worksheets/sheet19.xml"/><Relationship Id="rId224" Type="http://schemas.openxmlformats.org/officeDocument/2006/relationships/theme" Target="theme/theme1.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68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69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6A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6B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6C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6D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6E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7</xdr:col>
      <xdr:colOff>0</xdr:colOff>
      <xdr:row>84</xdr:row>
      <xdr:rowOff>0</xdr:rowOff>
    </xdr:from>
    <xdr:ext cx="5120825" cy="392415"/>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4124325" y="17859375"/>
          <a:ext cx="51208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アシテア、ミティキュアで絞り込み（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oneCellAnchor>
    <xdr:from>
      <xdr:col>13</xdr:col>
      <xdr:colOff>0</xdr:colOff>
      <xdr:row>74</xdr:row>
      <xdr:rowOff>0</xdr:rowOff>
    </xdr:from>
    <xdr:ext cx="1029769" cy="392415"/>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7181850" y="169068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7829550" y="2738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11439525"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9" name="テキスト ボックス 18">
          <a:extLst>
            <a:ext uri="{FF2B5EF4-FFF2-40B4-BE49-F238E27FC236}">
              <a16:creationId xmlns:a16="http://schemas.microsoft.com/office/drawing/2014/main" id="{00000000-0008-0000-0300-000013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21" name="テキスト ボックス 20">
          <a:extLst>
            <a:ext uri="{FF2B5EF4-FFF2-40B4-BE49-F238E27FC236}">
              <a16:creationId xmlns:a16="http://schemas.microsoft.com/office/drawing/2014/main" id="{00000000-0008-0000-0300-000015000000}"/>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2B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00000000-0008-0000-0500-000025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00000000-0008-0000-0500-000026000000}"/>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341</xdr:row>
      <xdr:rowOff>0</xdr:rowOff>
    </xdr:from>
    <xdr:ext cx="2308068" cy="392415"/>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350</xdr:row>
      <xdr:rowOff>0</xdr:rowOff>
    </xdr:from>
    <xdr:ext cx="2615844" cy="392415"/>
    <xdr:sp macro="" textlink="">
      <xdr:nvSpPr>
        <xdr:cNvPr id="41" name="テキスト ボックス 40">
          <a:extLst>
            <a:ext uri="{FF2B5EF4-FFF2-40B4-BE49-F238E27FC236}">
              <a16:creationId xmlns:a16="http://schemas.microsoft.com/office/drawing/2014/main" id="{00000000-0008-0000-0500-000029000000}"/>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359</xdr:row>
      <xdr:rowOff>0</xdr:rowOff>
    </xdr:from>
    <xdr:ext cx="2615844" cy="392415"/>
    <xdr:sp macro="" textlink="">
      <xdr:nvSpPr>
        <xdr:cNvPr id="45" name="テキスト ボックス 44">
          <a:extLst>
            <a:ext uri="{FF2B5EF4-FFF2-40B4-BE49-F238E27FC236}">
              <a16:creationId xmlns:a16="http://schemas.microsoft.com/office/drawing/2014/main" id="{00000000-0008-0000-0500-00002D000000}"/>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368</xdr:row>
      <xdr:rowOff>0</xdr:rowOff>
    </xdr:from>
    <xdr:ext cx="3385286" cy="392415"/>
    <xdr:sp macro="" textlink="">
      <xdr:nvSpPr>
        <xdr:cNvPr id="49" name="テキスト ボックス 48">
          <a:extLst>
            <a:ext uri="{FF2B5EF4-FFF2-40B4-BE49-F238E27FC236}">
              <a16:creationId xmlns:a16="http://schemas.microsoft.com/office/drawing/2014/main" id="{00000000-0008-0000-0500-000031000000}"/>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377</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386</xdr:row>
      <xdr:rowOff>0</xdr:rowOff>
    </xdr:from>
    <xdr:ext cx="2769733" cy="392415"/>
    <xdr:sp macro="" textlink="">
      <xdr:nvSpPr>
        <xdr:cNvPr id="57" name="テキスト ボックス 56">
          <a:extLst>
            <a:ext uri="{FF2B5EF4-FFF2-40B4-BE49-F238E27FC236}">
              <a16:creationId xmlns:a16="http://schemas.microsoft.com/office/drawing/2014/main" id="{00000000-0008-0000-0500-000039000000}"/>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395</xdr:row>
      <xdr:rowOff>0</xdr:rowOff>
    </xdr:from>
    <xdr:ext cx="2615844" cy="392415"/>
    <xdr:sp macro="" textlink="">
      <xdr:nvSpPr>
        <xdr:cNvPr id="61" name="テキスト ボックス 60">
          <a:extLst>
            <a:ext uri="{FF2B5EF4-FFF2-40B4-BE49-F238E27FC236}">
              <a16:creationId xmlns:a16="http://schemas.microsoft.com/office/drawing/2014/main" id="{00000000-0008-0000-0500-00003D000000}"/>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404</xdr:row>
      <xdr:rowOff>0</xdr:rowOff>
    </xdr:from>
    <xdr:ext cx="2923621" cy="392415"/>
    <xdr:sp macro="" textlink="">
      <xdr:nvSpPr>
        <xdr:cNvPr id="65" name="テキスト ボックス 64">
          <a:extLst>
            <a:ext uri="{FF2B5EF4-FFF2-40B4-BE49-F238E27FC236}">
              <a16:creationId xmlns:a16="http://schemas.microsoft.com/office/drawing/2014/main" id="{00000000-0008-0000-0500-000041000000}"/>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413</xdr:row>
      <xdr:rowOff>0</xdr:rowOff>
    </xdr:from>
    <xdr:ext cx="2000291" cy="392415"/>
    <xdr:sp macro="" textlink="">
      <xdr:nvSpPr>
        <xdr:cNvPr id="69" name="テキスト ボックス 68">
          <a:extLst>
            <a:ext uri="{FF2B5EF4-FFF2-40B4-BE49-F238E27FC236}">
              <a16:creationId xmlns:a16="http://schemas.microsoft.com/office/drawing/2014/main" id="{00000000-0008-0000-0500-000045000000}"/>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422</xdr:row>
      <xdr:rowOff>0</xdr:rowOff>
    </xdr:from>
    <xdr:ext cx="2923621" cy="392415"/>
    <xdr:sp macro="" textlink="">
      <xdr:nvSpPr>
        <xdr:cNvPr id="72" name="テキスト ボックス 71">
          <a:extLst>
            <a:ext uri="{FF2B5EF4-FFF2-40B4-BE49-F238E27FC236}">
              <a16:creationId xmlns:a16="http://schemas.microsoft.com/office/drawing/2014/main" id="{00000000-0008-0000-0500-000048000000}"/>
            </a:ext>
          </a:extLst>
        </xdr:cNvPr>
        <xdr:cNvSpPr txBox="1"/>
      </xdr:nvSpPr>
      <xdr:spPr>
        <a:xfrm>
          <a:off x="4219575" y="10048875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431</xdr:row>
      <xdr:rowOff>0</xdr:rowOff>
    </xdr:from>
    <xdr:ext cx="2769733" cy="392415"/>
    <xdr:sp macro="" textlink="">
      <xdr:nvSpPr>
        <xdr:cNvPr id="73" name="テキスト ボックス 72">
          <a:extLst>
            <a:ext uri="{FF2B5EF4-FFF2-40B4-BE49-F238E27FC236}">
              <a16:creationId xmlns:a16="http://schemas.microsoft.com/office/drawing/2014/main" id="{00000000-0008-0000-0500-000049000000}"/>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440</xdr:row>
      <xdr:rowOff>0</xdr:rowOff>
    </xdr:from>
    <xdr:ext cx="2461956" cy="392415"/>
    <xdr:sp macro="" textlink="">
      <xdr:nvSpPr>
        <xdr:cNvPr id="74" name="テキスト ボックス 73">
          <a:extLst>
            <a:ext uri="{FF2B5EF4-FFF2-40B4-BE49-F238E27FC236}">
              <a16:creationId xmlns:a16="http://schemas.microsoft.com/office/drawing/2014/main" id="{00000000-0008-0000-0500-00004A000000}"/>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449</xdr:row>
      <xdr:rowOff>0</xdr:rowOff>
    </xdr:from>
    <xdr:ext cx="2308068" cy="392415"/>
    <xdr:sp macro="" textlink="">
      <xdr:nvSpPr>
        <xdr:cNvPr id="75" name="テキスト ボックス 74">
          <a:extLst>
            <a:ext uri="{FF2B5EF4-FFF2-40B4-BE49-F238E27FC236}">
              <a16:creationId xmlns:a16="http://schemas.microsoft.com/office/drawing/2014/main" id="{00000000-0008-0000-0500-00004B000000}"/>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451</xdr:row>
      <xdr:rowOff>0</xdr:rowOff>
    </xdr:from>
    <xdr:ext cx="1183273" cy="392415"/>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100</xdr:row>
      <xdr:rowOff>0</xdr:rowOff>
    </xdr:from>
    <xdr:ext cx="755913" cy="392415"/>
    <xdr:sp macro="" textlink="">
      <xdr:nvSpPr>
        <xdr:cNvPr id="43" name="テキスト ボックス 42">
          <a:extLst>
            <a:ext uri="{FF2B5EF4-FFF2-40B4-BE49-F238E27FC236}">
              <a16:creationId xmlns:a16="http://schemas.microsoft.com/office/drawing/2014/main" id="{00000000-0008-0000-0500-00002B000000}"/>
            </a:ext>
          </a:extLst>
        </xdr:cNvPr>
        <xdr:cNvSpPr txBox="1"/>
      </xdr:nvSpPr>
      <xdr:spPr>
        <a:xfrm>
          <a:off x="11439525" y="2405062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92</xdr:row>
      <xdr:rowOff>0</xdr:rowOff>
    </xdr:from>
    <xdr:ext cx="2185214" cy="392415"/>
    <xdr:sp macro="" textlink="">
      <xdr:nvSpPr>
        <xdr:cNvPr id="47" name="テキスト ボックス 46">
          <a:extLst>
            <a:ext uri="{FF2B5EF4-FFF2-40B4-BE49-F238E27FC236}">
              <a16:creationId xmlns:a16="http://schemas.microsoft.com/office/drawing/2014/main" id="{00000000-0008-0000-0500-00002F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97</xdr:row>
      <xdr:rowOff>0</xdr:rowOff>
    </xdr:from>
    <xdr:ext cx="1183273" cy="392415"/>
    <xdr:sp macro="" textlink="">
      <xdr:nvSpPr>
        <xdr:cNvPr id="48" name="テキスト ボックス 47">
          <a:extLst>
            <a:ext uri="{FF2B5EF4-FFF2-40B4-BE49-F238E27FC236}">
              <a16:creationId xmlns:a16="http://schemas.microsoft.com/office/drawing/2014/main" id="{00000000-0008-0000-0500-000030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94</xdr:row>
      <xdr:rowOff>0</xdr:rowOff>
    </xdr:from>
    <xdr:ext cx="2068259" cy="392415"/>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19575" y="22383750"/>
          <a:ext cx="20682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106</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101</xdr:row>
      <xdr:rowOff>0</xdr:rowOff>
    </xdr:from>
    <xdr:ext cx="2185214" cy="392415"/>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109</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220</xdr:row>
      <xdr:rowOff>0</xdr:rowOff>
    </xdr:from>
    <xdr:ext cx="1183273" cy="392415"/>
    <xdr:sp macro="" textlink="">
      <xdr:nvSpPr>
        <xdr:cNvPr id="59" name="テキスト ボックス 58">
          <a:extLst>
            <a:ext uri="{FF2B5EF4-FFF2-40B4-BE49-F238E27FC236}">
              <a16:creationId xmlns:a16="http://schemas.microsoft.com/office/drawing/2014/main" id="{00000000-0008-0000-0500-00003B000000}"/>
            </a:ext>
          </a:extLst>
        </xdr:cNvPr>
        <xdr:cNvSpPr txBox="1"/>
      </xdr:nvSpPr>
      <xdr:spPr>
        <a:xfrm>
          <a:off x="7829550"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217</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218</xdr:row>
      <xdr:rowOff>0</xdr:rowOff>
    </xdr:from>
    <xdr:ext cx="1441100" cy="392415"/>
    <xdr:sp macro="" textlink="">
      <xdr:nvSpPr>
        <xdr:cNvPr id="62" name="テキスト ボックス 61">
          <a:extLst>
            <a:ext uri="{FF2B5EF4-FFF2-40B4-BE49-F238E27FC236}">
              <a16:creationId xmlns:a16="http://schemas.microsoft.com/office/drawing/2014/main" id="{00000000-0008-0000-0500-00003E000000}"/>
            </a:ext>
          </a:extLst>
        </xdr:cNvPr>
        <xdr:cNvSpPr txBox="1"/>
      </xdr:nvSpPr>
      <xdr:spPr>
        <a:xfrm>
          <a:off x="9124950" y="3048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133</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829550" y="2952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130</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40000000}"/>
            </a:ext>
          </a:extLst>
        </xdr:cNvPr>
        <xdr:cNvSpPr txBox="1"/>
      </xdr:nvSpPr>
      <xdr:spPr>
        <a:xfrm>
          <a:off x="11439525" y="2881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131</xdr:row>
      <xdr:rowOff>0</xdr:rowOff>
    </xdr:from>
    <xdr:ext cx="1441100" cy="392415"/>
    <xdr:sp macro="" textlink="">
      <xdr:nvSpPr>
        <xdr:cNvPr id="66" name="テキスト ボックス 65">
          <a:extLst>
            <a:ext uri="{FF2B5EF4-FFF2-40B4-BE49-F238E27FC236}">
              <a16:creationId xmlns:a16="http://schemas.microsoft.com/office/drawing/2014/main" id="{00000000-0008-0000-0500-000042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115</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3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112</xdr:row>
      <xdr:rowOff>0</xdr:rowOff>
    </xdr:from>
    <xdr:ext cx="1183273" cy="392415"/>
    <xdr:sp macro="" textlink="">
      <xdr:nvSpPr>
        <xdr:cNvPr id="68" name="テキスト ボックス 67">
          <a:extLst>
            <a:ext uri="{FF2B5EF4-FFF2-40B4-BE49-F238E27FC236}">
              <a16:creationId xmlns:a16="http://schemas.microsoft.com/office/drawing/2014/main" id="{00000000-0008-0000-0500-000044000000}"/>
            </a:ext>
          </a:extLst>
        </xdr:cNvPr>
        <xdr:cNvSpPr txBox="1"/>
      </xdr:nvSpPr>
      <xdr:spPr>
        <a:xfrm>
          <a:off x="11439525" y="1881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113</xdr:row>
      <xdr:rowOff>0</xdr:rowOff>
    </xdr:from>
    <xdr:ext cx="1480213" cy="392415"/>
    <xdr:sp macro="" textlink="">
      <xdr:nvSpPr>
        <xdr:cNvPr id="70" name="テキスト ボックス 69">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148</xdr:row>
      <xdr:rowOff>0</xdr:rowOff>
    </xdr:from>
    <xdr:ext cx="1183273" cy="392415"/>
    <xdr:sp macro="" textlink="">
      <xdr:nvSpPr>
        <xdr:cNvPr id="71" name="テキスト ボックス 70">
          <a:extLst>
            <a:ext uri="{FF2B5EF4-FFF2-40B4-BE49-F238E27FC236}">
              <a16:creationId xmlns:a16="http://schemas.microsoft.com/office/drawing/2014/main" id="{00000000-0008-0000-0500-000047000000}"/>
            </a:ext>
          </a:extLst>
        </xdr:cNvPr>
        <xdr:cNvSpPr txBox="1"/>
      </xdr:nvSpPr>
      <xdr:spPr>
        <a:xfrm>
          <a:off x="7829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145</xdr:row>
      <xdr:rowOff>0</xdr:rowOff>
    </xdr:from>
    <xdr:ext cx="1183273" cy="392415"/>
    <xdr:sp macro="" textlink="">
      <xdr:nvSpPr>
        <xdr:cNvPr id="76" name="テキスト ボックス 75">
          <a:extLst>
            <a:ext uri="{FF2B5EF4-FFF2-40B4-BE49-F238E27FC236}">
              <a16:creationId xmlns:a16="http://schemas.microsoft.com/office/drawing/2014/main" id="{00000000-0008-0000-0500-00004C000000}"/>
            </a:ext>
          </a:extLst>
        </xdr:cNvPr>
        <xdr:cNvSpPr txBox="1"/>
      </xdr:nvSpPr>
      <xdr:spPr>
        <a:xfrm>
          <a:off x="11439525" y="338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146</xdr:row>
      <xdr:rowOff>0</xdr:rowOff>
    </xdr:from>
    <xdr:ext cx="1480213" cy="392415"/>
    <xdr:sp macro="" textlink="">
      <xdr:nvSpPr>
        <xdr:cNvPr id="77" name="テキスト ボックス 76">
          <a:extLst>
            <a:ext uri="{FF2B5EF4-FFF2-40B4-BE49-F238E27FC236}">
              <a16:creationId xmlns:a16="http://schemas.microsoft.com/office/drawing/2014/main" id="{00000000-0008-0000-0500-00004D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465</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7829550" y="3810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462</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11439525" y="3738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463</xdr:row>
      <xdr:rowOff>0</xdr:rowOff>
    </xdr:from>
    <xdr:ext cx="1480213" cy="392415"/>
    <xdr:sp macro="" textlink="">
      <xdr:nvSpPr>
        <xdr:cNvPr id="81" name="テキスト ボックス 80">
          <a:extLst>
            <a:ext uri="{FF2B5EF4-FFF2-40B4-BE49-F238E27FC236}">
              <a16:creationId xmlns:a16="http://schemas.microsoft.com/office/drawing/2014/main" id="{00000000-0008-0000-0500-000051000000}"/>
            </a:ext>
          </a:extLst>
        </xdr:cNvPr>
        <xdr:cNvSpPr txBox="1"/>
      </xdr:nvSpPr>
      <xdr:spPr>
        <a:xfrm>
          <a:off x="9124950" y="6953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128</xdr:row>
      <xdr:rowOff>0</xdr:rowOff>
    </xdr:from>
    <xdr:ext cx="2751010" cy="392415"/>
    <xdr:sp macro="" textlink="">
      <xdr:nvSpPr>
        <xdr:cNvPr id="83" name="テキスト ボックス 82">
          <a:extLst>
            <a:ext uri="{FF2B5EF4-FFF2-40B4-BE49-F238E27FC236}">
              <a16:creationId xmlns:a16="http://schemas.microsoft.com/office/drawing/2014/main" id="{00000000-0008-0000-0500-000053000000}"/>
            </a:ext>
          </a:extLst>
        </xdr:cNvPr>
        <xdr:cNvSpPr txBox="1"/>
      </xdr:nvSpPr>
      <xdr:spPr>
        <a:xfrm>
          <a:off x="4124325" y="3405187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127</xdr:row>
      <xdr:rowOff>0</xdr:rowOff>
    </xdr:from>
    <xdr:ext cx="755913" cy="392415"/>
    <xdr:sp macro="" textlink="">
      <xdr:nvSpPr>
        <xdr:cNvPr id="86" name="テキスト ボックス 85">
          <a:extLst>
            <a:ext uri="{FF2B5EF4-FFF2-40B4-BE49-F238E27FC236}">
              <a16:creationId xmlns:a16="http://schemas.microsoft.com/office/drawing/2014/main" id="{00000000-0008-0000-0500-000056000000}"/>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175</xdr:row>
      <xdr:rowOff>0</xdr:rowOff>
    </xdr:from>
    <xdr:ext cx="1183273" cy="392415"/>
    <xdr:sp macro="" textlink="">
      <xdr:nvSpPr>
        <xdr:cNvPr id="89" name="テキスト ボックス 88">
          <a:extLst>
            <a:ext uri="{FF2B5EF4-FFF2-40B4-BE49-F238E27FC236}">
              <a16:creationId xmlns:a16="http://schemas.microsoft.com/office/drawing/2014/main" id="{00000000-0008-0000-0500-000059000000}"/>
            </a:ext>
          </a:extLst>
        </xdr:cNvPr>
        <xdr:cNvSpPr txBox="1"/>
      </xdr:nvSpPr>
      <xdr:spPr>
        <a:xfrm>
          <a:off x="71818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172</xdr:row>
      <xdr:rowOff>0</xdr:rowOff>
    </xdr:from>
    <xdr:ext cx="1183273" cy="392415"/>
    <xdr:sp macro="" textlink="">
      <xdr:nvSpPr>
        <xdr:cNvPr id="90" name="テキスト ボックス 89">
          <a:extLst>
            <a:ext uri="{FF2B5EF4-FFF2-40B4-BE49-F238E27FC236}">
              <a16:creationId xmlns:a16="http://schemas.microsoft.com/office/drawing/2014/main" id="{00000000-0008-0000-0500-00005A000000}"/>
            </a:ext>
          </a:extLst>
        </xdr:cNvPr>
        <xdr:cNvSpPr txBox="1"/>
      </xdr:nvSpPr>
      <xdr:spPr>
        <a:xfrm>
          <a:off x="10496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173</xdr:row>
      <xdr:rowOff>0</xdr:rowOff>
    </xdr:from>
    <xdr:ext cx="1441100" cy="392415"/>
    <xdr:sp macro="" textlink="">
      <xdr:nvSpPr>
        <xdr:cNvPr id="91" name="テキスト ボックス 90">
          <a:extLst>
            <a:ext uri="{FF2B5EF4-FFF2-40B4-BE49-F238E27FC236}">
              <a16:creationId xmlns:a16="http://schemas.microsoft.com/office/drawing/2014/main" id="{00000000-0008-0000-0500-00005B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190</xdr:row>
      <xdr:rowOff>0</xdr:rowOff>
    </xdr:from>
    <xdr:ext cx="1183273" cy="392415"/>
    <xdr:sp macro="" textlink="">
      <xdr:nvSpPr>
        <xdr:cNvPr id="92" name="テキスト ボックス 91">
          <a:extLst>
            <a:ext uri="{FF2B5EF4-FFF2-40B4-BE49-F238E27FC236}">
              <a16:creationId xmlns:a16="http://schemas.microsoft.com/office/drawing/2014/main" id="{00000000-0008-0000-0500-00005C000000}"/>
            </a:ext>
          </a:extLst>
        </xdr:cNvPr>
        <xdr:cNvSpPr txBox="1"/>
      </xdr:nvSpPr>
      <xdr:spPr>
        <a:xfrm>
          <a:off x="7181850" y="3952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187</xdr:row>
      <xdr:rowOff>0</xdr:rowOff>
    </xdr:from>
    <xdr:ext cx="1183273" cy="392415"/>
    <xdr:sp macro="" textlink="">
      <xdr:nvSpPr>
        <xdr:cNvPr id="93" name="テキスト ボックス 92">
          <a:extLst>
            <a:ext uri="{FF2B5EF4-FFF2-40B4-BE49-F238E27FC236}">
              <a16:creationId xmlns:a16="http://schemas.microsoft.com/office/drawing/2014/main" id="{00000000-0008-0000-0500-00005D000000}"/>
            </a:ext>
          </a:extLst>
        </xdr:cNvPr>
        <xdr:cNvSpPr txBox="1"/>
      </xdr:nvSpPr>
      <xdr:spPr>
        <a:xfrm>
          <a:off x="10496550" y="3881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188</xdr:row>
      <xdr:rowOff>0</xdr:rowOff>
    </xdr:from>
    <xdr:ext cx="1480213" cy="392415"/>
    <xdr:sp macro="" textlink="">
      <xdr:nvSpPr>
        <xdr:cNvPr id="94" name="テキスト ボックス 93">
          <a:extLst>
            <a:ext uri="{FF2B5EF4-FFF2-40B4-BE49-F238E27FC236}">
              <a16:creationId xmlns:a16="http://schemas.microsoft.com/office/drawing/2014/main" id="{00000000-0008-0000-0500-00005E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160</xdr:row>
      <xdr:rowOff>0</xdr:rowOff>
    </xdr:from>
    <xdr:ext cx="755913" cy="392415"/>
    <xdr:sp macro="" textlink="">
      <xdr:nvSpPr>
        <xdr:cNvPr id="101" name="テキスト ボックス 100">
          <a:extLst>
            <a:ext uri="{FF2B5EF4-FFF2-40B4-BE49-F238E27FC236}">
              <a16:creationId xmlns:a16="http://schemas.microsoft.com/office/drawing/2014/main" id="{00000000-0008-0000-0500-000065000000}"/>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202</xdr:row>
      <xdr:rowOff>0</xdr:rowOff>
    </xdr:from>
    <xdr:ext cx="755913" cy="392415"/>
    <xdr:sp macro="" textlink="">
      <xdr:nvSpPr>
        <xdr:cNvPr id="102" name="テキスト ボックス 101">
          <a:extLst>
            <a:ext uri="{FF2B5EF4-FFF2-40B4-BE49-F238E27FC236}">
              <a16:creationId xmlns:a16="http://schemas.microsoft.com/office/drawing/2014/main" id="{00000000-0008-0000-0500-000066000000}"/>
            </a:ext>
          </a:extLst>
        </xdr:cNvPr>
        <xdr:cNvSpPr txBox="1"/>
      </xdr:nvSpPr>
      <xdr:spPr>
        <a:xfrm>
          <a:off x="3867150" y="4167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238</xdr:row>
      <xdr:rowOff>0</xdr:rowOff>
    </xdr:from>
    <xdr:ext cx="1183273" cy="392415"/>
    <xdr:sp macro="" textlink="">
      <xdr:nvSpPr>
        <xdr:cNvPr id="103" name="テキスト ボックス 102">
          <a:extLst>
            <a:ext uri="{FF2B5EF4-FFF2-40B4-BE49-F238E27FC236}">
              <a16:creationId xmlns:a16="http://schemas.microsoft.com/office/drawing/2014/main" id="{00000000-0008-0000-0500-000067000000}"/>
            </a:ext>
          </a:extLst>
        </xdr:cNvPr>
        <xdr:cNvSpPr txBox="1"/>
      </xdr:nvSpPr>
      <xdr:spPr>
        <a:xfrm>
          <a:off x="71818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235</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68000000}"/>
            </a:ext>
          </a:extLst>
        </xdr:cNvPr>
        <xdr:cNvSpPr txBox="1"/>
      </xdr:nvSpPr>
      <xdr:spPr>
        <a:xfrm>
          <a:off x="10496550" y="5095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236</xdr:row>
      <xdr:rowOff>0</xdr:rowOff>
    </xdr:from>
    <xdr:ext cx="1480213" cy="392415"/>
    <xdr:sp macro="" textlink="">
      <xdr:nvSpPr>
        <xdr:cNvPr id="105" name="テキスト ボックス 104">
          <a:extLst>
            <a:ext uri="{FF2B5EF4-FFF2-40B4-BE49-F238E27FC236}">
              <a16:creationId xmlns:a16="http://schemas.microsoft.com/office/drawing/2014/main" id="{00000000-0008-0000-0500-000069000000}"/>
            </a:ext>
          </a:extLst>
        </xdr:cNvPr>
        <xdr:cNvSpPr txBox="1"/>
      </xdr:nvSpPr>
      <xdr:spPr>
        <a:xfrm>
          <a:off x="8372475" y="547687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214</xdr:row>
      <xdr:rowOff>0</xdr:rowOff>
    </xdr:from>
    <xdr:ext cx="2477601" cy="392415"/>
    <xdr:sp macro="" textlink="">
      <xdr:nvSpPr>
        <xdr:cNvPr id="106" name="テキスト ボックス 105">
          <a:extLst>
            <a:ext uri="{FF2B5EF4-FFF2-40B4-BE49-F238E27FC236}">
              <a16:creationId xmlns:a16="http://schemas.microsoft.com/office/drawing/2014/main" id="{00000000-0008-0000-0500-00006A000000}"/>
            </a:ext>
          </a:extLst>
        </xdr:cNvPr>
        <xdr:cNvSpPr txBox="1"/>
      </xdr:nvSpPr>
      <xdr:spPr>
        <a:xfrm>
          <a:off x="7829550" y="509587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256</xdr:row>
      <xdr:rowOff>0</xdr:rowOff>
    </xdr:from>
    <xdr:ext cx="1183273" cy="392415"/>
    <xdr:sp macro="" textlink="">
      <xdr:nvSpPr>
        <xdr:cNvPr id="109" name="テキスト ボックス 108">
          <a:extLst>
            <a:ext uri="{FF2B5EF4-FFF2-40B4-BE49-F238E27FC236}">
              <a16:creationId xmlns:a16="http://schemas.microsoft.com/office/drawing/2014/main" id="{00000000-0008-0000-0500-00006D000000}"/>
            </a:ext>
          </a:extLst>
        </xdr:cNvPr>
        <xdr:cNvSpPr txBox="1"/>
      </xdr:nvSpPr>
      <xdr:spPr>
        <a:xfrm>
          <a:off x="71818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253</xdr:row>
      <xdr:rowOff>0</xdr:rowOff>
    </xdr:from>
    <xdr:ext cx="1183273" cy="392415"/>
    <xdr:sp macro="" textlink="">
      <xdr:nvSpPr>
        <xdr:cNvPr id="110" name="テキスト ボックス 109">
          <a:extLst>
            <a:ext uri="{FF2B5EF4-FFF2-40B4-BE49-F238E27FC236}">
              <a16:creationId xmlns:a16="http://schemas.microsoft.com/office/drawing/2014/main" id="{00000000-0008-0000-0500-00006E000000}"/>
            </a:ext>
          </a:extLst>
        </xdr:cNvPr>
        <xdr:cNvSpPr txBox="1"/>
      </xdr:nvSpPr>
      <xdr:spPr>
        <a:xfrm>
          <a:off x="104965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254</xdr:row>
      <xdr:rowOff>0</xdr:rowOff>
    </xdr:from>
    <xdr:ext cx="1441100" cy="392415"/>
    <xdr:sp macro="" textlink="">
      <xdr:nvSpPr>
        <xdr:cNvPr id="111" name="テキスト ボックス 110">
          <a:extLst>
            <a:ext uri="{FF2B5EF4-FFF2-40B4-BE49-F238E27FC236}">
              <a16:creationId xmlns:a16="http://schemas.microsoft.com/office/drawing/2014/main" id="{00000000-0008-0000-0500-00006F000000}"/>
            </a:ext>
          </a:extLst>
        </xdr:cNvPr>
        <xdr:cNvSpPr txBox="1"/>
      </xdr:nvSpPr>
      <xdr:spPr>
        <a:xfrm>
          <a:off x="8372475"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250</xdr:row>
      <xdr:rowOff>0</xdr:rowOff>
    </xdr:from>
    <xdr:ext cx="2477601" cy="392415"/>
    <xdr:sp macro="" textlink="">
      <xdr:nvSpPr>
        <xdr:cNvPr id="115" name="テキスト ボックス 114">
          <a:extLst>
            <a:ext uri="{FF2B5EF4-FFF2-40B4-BE49-F238E27FC236}">
              <a16:creationId xmlns:a16="http://schemas.microsoft.com/office/drawing/2014/main" id="{00000000-0008-0000-0500-000073000000}"/>
            </a:ext>
          </a:extLst>
        </xdr:cNvPr>
        <xdr:cNvSpPr txBox="1"/>
      </xdr:nvSpPr>
      <xdr:spPr>
        <a:xfrm>
          <a:off x="7829550" y="595312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286</xdr:row>
      <xdr:rowOff>0</xdr:rowOff>
    </xdr:from>
    <xdr:ext cx="1183273" cy="392415"/>
    <xdr:sp macro="" textlink="">
      <xdr:nvSpPr>
        <xdr:cNvPr id="117" name="テキスト ボックス 116">
          <a:extLst>
            <a:ext uri="{FF2B5EF4-FFF2-40B4-BE49-F238E27FC236}">
              <a16:creationId xmlns:a16="http://schemas.microsoft.com/office/drawing/2014/main" id="{00000000-0008-0000-0500-000075000000}"/>
            </a:ext>
          </a:extLst>
        </xdr:cNvPr>
        <xdr:cNvSpPr txBox="1"/>
      </xdr:nvSpPr>
      <xdr:spPr>
        <a:xfrm>
          <a:off x="71818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283</xdr:row>
      <xdr:rowOff>0</xdr:rowOff>
    </xdr:from>
    <xdr:ext cx="1183273" cy="392415"/>
    <xdr:sp macro="" textlink="">
      <xdr:nvSpPr>
        <xdr:cNvPr id="118" name="テキスト ボックス 117">
          <a:extLst>
            <a:ext uri="{FF2B5EF4-FFF2-40B4-BE49-F238E27FC236}">
              <a16:creationId xmlns:a16="http://schemas.microsoft.com/office/drawing/2014/main" id="{00000000-0008-0000-0500-000076000000}"/>
            </a:ext>
          </a:extLst>
        </xdr:cNvPr>
        <xdr:cNvSpPr txBox="1"/>
      </xdr:nvSpPr>
      <xdr:spPr>
        <a:xfrm>
          <a:off x="10496550"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284</xdr:row>
      <xdr:rowOff>0</xdr:rowOff>
    </xdr:from>
    <xdr:ext cx="1480213" cy="392415"/>
    <xdr:sp macro="" textlink="">
      <xdr:nvSpPr>
        <xdr:cNvPr id="119" name="テキスト ボックス 118">
          <a:extLst>
            <a:ext uri="{FF2B5EF4-FFF2-40B4-BE49-F238E27FC236}">
              <a16:creationId xmlns:a16="http://schemas.microsoft.com/office/drawing/2014/main" id="{00000000-0008-0000-0500-000077000000}"/>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267</xdr:row>
      <xdr:rowOff>175260</xdr:rowOff>
    </xdr:from>
    <xdr:ext cx="1183273" cy="392415"/>
    <xdr:sp macro="" textlink="">
      <xdr:nvSpPr>
        <xdr:cNvPr id="121" name="テキスト ボックス 120">
          <a:extLst>
            <a:ext uri="{FF2B5EF4-FFF2-40B4-BE49-F238E27FC236}">
              <a16:creationId xmlns:a16="http://schemas.microsoft.com/office/drawing/2014/main" id="{00000000-0008-0000-0500-000079000000}"/>
            </a:ext>
          </a:extLst>
        </xdr:cNvPr>
        <xdr:cNvSpPr txBox="1"/>
      </xdr:nvSpPr>
      <xdr:spPr>
        <a:xfrm>
          <a:off x="8321040" y="16386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274</xdr:row>
      <xdr:rowOff>0</xdr:rowOff>
    </xdr:from>
    <xdr:ext cx="1183273" cy="392415"/>
    <xdr:sp macro="" textlink="">
      <xdr:nvSpPr>
        <xdr:cNvPr id="123" name="テキスト ボックス 122">
          <a:extLst>
            <a:ext uri="{FF2B5EF4-FFF2-40B4-BE49-F238E27FC236}">
              <a16:creationId xmlns:a16="http://schemas.microsoft.com/office/drawing/2014/main" id="{00000000-0008-0000-0500-00007B000000}"/>
            </a:ext>
          </a:extLst>
        </xdr:cNvPr>
        <xdr:cNvSpPr txBox="1"/>
      </xdr:nvSpPr>
      <xdr:spPr>
        <a:xfrm>
          <a:off x="9296400" y="178562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271</xdr:row>
      <xdr:rowOff>0</xdr:rowOff>
    </xdr:from>
    <xdr:ext cx="3139129" cy="392415"/>
    <xdr:sp macro="" textlink="">
      <xdr:nvSpPr>
        <xdr:cNvPr id="125" name="テキスト ボックス 124">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319</xdr:row>
      <xdr:rowOff>0</xdr:rowOff>
    </xdr:from>
    <xdr:ext cx="1183273" cy="392415"/>
    <xdr:sp macro="" textlink="">
      <xdr:nvSpPr>
        <xdr:cNvPr id="126" name="テキスト ボックス 125">
          <a:extLst>
            <a:ext uri="{FF2B5EF4-FFF2-40B4-BE49-F238E27FC236}">
              <a16:creationId xmlns:a16="http://schemas.microsoft.com/office/drawing/2014/main" id="{00000000-0008-0000-0500-00007E000000}"/>
            </a:ext>
          </a:extLst>
        </xdr:cNvPr>
        <xdr:cNvSpPr txBox="1"/>
      </xdr:nvSpPr>
      <xdr:spPr>
        <a:xfrm>
          <a:off x="71818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891540</xdr:colOff>
      <xdr:row>300</xdr:row>
      <xdr:rowOff>175260</xdr:rowOff>
    </xdr:from>
    <xdr:ext cx="1183273" cy="392415"/>
    <xdr:sp macro="" textlink="">
      <xdr:nvSpPr>
        <xdr:cNvPr id="129" name="テキスト ボックス 128">
          <a:extLst>
            <a:ext uri="{FF2B5EF4-FFF2-40B4-BE49-F238E27FC236}">
              <a16:creationId xmlns:a16="http://schemas.microsoft.com/office/drawing/2014/main" id="{00000000-0008-0000-0500-000081000000}"/>
            </a:ext>
          </a:extLst>
        </xdr:cNvPr>
        <xdr:cNvSpPr txBox="1"/>
      </xdr:nvSpPr>
      <xdr:spPr>
        <a:xfrm>
          <a:off x="8327390" y="63757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307</xdr:row>
      <xdr:rowOff>0</xdr:rowOff>
    </xdr:from>
    <xdr:ext cx="1183273" cy="392415"/>
    <xdr:sp macro="" textlink="">
      <xdr:nvSpPr>
        <xdr:cNvPr id="131" name="テキスト ボックス 130">
          <a:extLst>
            <a:ext uri="{FF2B5EF4-FFF2-40B4-BE49-F238E27FC236}">
              <a16:creationId xmlns:a16="http://schemas.microsoft.com/office/drawing/2014/main" id="{00000000-0008-0000-0500-000083000000}"/>
            </a:ext>
          </a:extLst>
        </xdr:cNvPr>
        <xdr:cNvSpPr txBox="1"/>
      </xdr:nvSpPr>
      <xdr:spPr>
        <a:xfrm>
          <a:off x="93059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331</xdr:row>
      <xdr:rowOff>0</xdr:rowOff>
    </xdr:from>
    <xdr:ext cx="755913" cy="392415"/>
    <xdr:sp macro="" textlink="">
      <xdr:nvSpPr>
        <xdr:cNvPr id="134" name="テキスト ボックス 133">
          <a:extLst>
            <a:ext uri="{FF2B5EF4-FFF2-40B4-BE49-F238E27FC236}">
              <a16:creationId xmlns:a16="http://schemas.microsoft.com/office/drawing/2014/main" id="{00000000-0008-0000-0500-000086000000}"/>
            </a:ext>
          </a:extLst>
        </xdr:cNvPr>
        <xdr:cNvSpPr txBox="1"/>
      </xdr:nvSpPr>
      <xdr:spPr>
        <a:xfrm>
          <a:off x="3867150"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7</xdr:col>
      <xdr:colOff>0</xdr:colOff>
      <xdr:row>125</xdr:row>
      <xdr:rowOff>0</xdr:rowOff>
    </xdr:from>
    <xdr:ext cx="1922449" cy="392415"/>
    <xdr:sp macro="" textlink="">
      <xdr:nvSpPr>
        <xdr:cNvPr id="107" name="テキスト ボックス 106">
          <a:extLst>
            <a:ext uri="{FF2B5EF4-FFF2-40B4-BE49-F238E27FC236}">
              <a16:creationId xmlns:a16="http://schemas.microsoft.com/office/drawing/2014/main" id="{6CFABEA0-A65D-49F1-8AE4-14D6BA7EE443}"/>
            </a:ext>
          </a:extLst>
        </xdr:cNvPr>
        <xdr:cNvSpPr txBox="1"/>
      </xdr:nvSpPr>
      <xdr:spPr>
        <a:xfrm>
          <a:off x="4124325" y="29765625"/>
          <a:ext cx="19224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入院中</a:t>
          </a:r>
          <a:r>
            <a:rPr kumimoji="1" lang="en-US" altLang="ja-JP" sz="1200" b="1">
              <a:solidFill>
                <a:srgbClr val="FF0000"/>
              </a:solidFill>
              <a:latin typeface="メイリオ" panose="020B0604030504040204" pitchFamily="50" charset="-128"/>
              <a:ea typeface="メイリオ" panose="020B0604030504040204" pitchFamily="50" charset="-128"/>
            </a:rPr>
            <a:t>F</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（退院済み）</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xdr:row>
      <xdr:rowOff>0</xdr:rowOff>
    </xdr:from>
    <xdr:ext cx="2068259" cy="392415"/>
    <xdr:sp macro="" textlink="">
      <xdr:nvSpPr>
        <xdr:cNvPr id="112" name="テキスト ボックス 111">
          <a:extLst>
            <a:ext uri="{FF2B5EF4-FFF2-40B4-BE49-F238E27FC236}">
              <a16:creationId xmlns:a16="http://schemas.microsoft.com/office/drawing/2014/main" id="{00000000-0008-0000-0500-000034000000}"/>
            </a:ext>
          </a:extLst>
        </xdr:cNvPr>
        <xdr:cNvSpPr txBox="1"/>
      </xdr:nvSpPr>
      <xdr:spPr>
        <a:xfrm>
          <a:off x="4219575" y="24526875"/>
          <a:ext cx="20682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232</xdr:row>
      <xdr:rowOff>0</xdr:rowOff>
    </xdr:from>
    <xdr:ext cx="1708160" cy="392415"/>
    <xdr:sp macro="" textlink="">
      <xdr:nvSpPr>
        <xdr:cNvPr id="113" name="テキスト ボックス 112">
          <a:extLst>
            <a:ext uri="{FF2B5EF4-FFF2-40B4-BE49-F238E27FC236}">
              <a16:creationId xmlns:a16="http://schemas.microsoft.com/office/drawing/2014/main" id="{00000000-0008-0000-0500-000034000000}"/>
            </a:ext>
          </a:extLst>
        </xdr:cNvPr>
        <xdr:cNvSpPr txBox="1"/>
      </xdr:nvSpPr>
      <xdr:spPr>
        <a:xfrm>
          <a:off x="7829550" y="55245000"/>
          <a:ext cx="17081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（薬剤名称）</a:t>
          </a:r>
        </a:p>
      </xdr:txBody>
    </xdr:sp>
    <xdr:clientData/>
  </xdr:oneCellAnchor>
  <xdr:oneCellAnchor>
    <xdr:from>
      <xdr:col>11</xdr:col>
      <xdr:colOff>0</xdr:colOff>
      <xdr:row>277</xdr:row>
      <xdr:rowOff>0</xdr:rowOff>
    </xdr:from>
    <xdr:ext cx="3139129" cy="392415"/>
    <xdr:sp macro="" textlink="">
      <xdr:nvSpPr>
        <xdr:cNvPr id="114" name="テキスト ボックス 113">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304</xdr:row>
      <xdr:rowOff>0</xdr:rowOff>
    </xdr:from>
    <xdr:ext cx="3819122" cy="392415"/>
    <xdr:sp macro="" textlink="">
      <xdr:nvSpPr>
        <xdr:cNvPr id="116" name="テキスト ボックス 115">
          <a:extLst>
            <a:ext uri="{FF2B5EF4-FFF2-40B4-BE49-F238E27FC236}">
              <a16:creationId xmlns:a16="http://schemas.microsoft.com/office/drawing/2014/main" id="{00000000-0008-0000-0500-00007D000000}"/>
            </a:ext>
          </a:extLst>
        </xdr:cNvPr>
        <xdr:cNvSpPr txBox="1"/>
      </xdr:nvSpPr>
      <xdr:spPr>
        <a:xfrm>
          <a:off x="7829550" y="71675625"/>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310</xdr:row>
      <xdr:rowOff>0</xdr:rowOff>
    </xdr:from>
    <xdr:ext cx="3819122" cy="392415"/>
    <xdr:sp macro="" textlink="">
      <xdr:nvSpPr>
        <xdr:cNvPr id="120" name="テキスト ボックス 119">
          <a:extLst>
            <a:ext uri="{FF2B5EF4-FFF2-40B4-BE49-F238E27FC236}">
              <a16:creationId xmlns:a16="http://schemas.microsoft.com/office/drawing/2014/main" id="{00000000-0008-0000-0500-00007D000000}"/>
            </a:ext>
          </a:extLst>
        </xdr:cNvPr>
        <xdr:cNvSpPr txBox="1"/>
      </xdr:nvSpPr>
      <xdr:spPr>
        <a:xfrm>
          <a:off x="7829550" y="73104375"/>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281</xdr:row>
      <xdr:rowOff>0</xdr:rowOff>
    </xdr:from>
    <xdr:ext cx="4831900" cy="392415"/>
    <xdr:sp macro="" textlink="">
      <xdr:nvSpPr>
        <xdr:cNvPr id="132" name="テキスト ボックス 131">
          <a:extLst>
            <a:ext uri="{FF2B5EF4-FFF2-40B4-BE49-F238E27FC236}">
              <a16:creationId xmlns:a16="http://schemas.microsoft.com/office/drawing/2014/main" id="{00000000-0008-0000-0500-00007D000000}"/>
            </a:ext>
          </a:extLst>
        </xdr:cNvPr>
        <xdr:cNvSpPr txBox="1"/>
      </xdr:nvSpPr>
      <xdr:spPr>
        <a:xfrm>
          <a:off x="7040880" y="66377820"/>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11</xdr:col>
      <xdr:colOff>0</xdr:colOff>
      <xdr:row>314</xdr:row>
      <xdr:rowOff>0</xdr:rowOff>
    </xdr:from>
    <xdr:ext cx="5511894" cy="392415"/>
    <xdr:sp macro="" textlink="">
      <xdr:nvSpPr>
        <xdr:cNvPr id="133" name="テキスト ボックス 132">
          <a:extLst>
            <a:ext uri="{FF2B5EF4-FFF2-40B4-BE49-F238E27FC236}">
              <a16:creationId xmlns:a16="http://schemas.microsoft.com/office/drawing/2014/main" id="{00000000-0008-0000-0500-00007D000000}"/>
            </a:ext>
          </a:extLst>
        </xdr:cNvPr>
        <xdr:cNvSpPr txBox="1"/>
      </xdr:nvSpPr>
      <xdr:spPr>
        <a:xfrm>
          <a:off x="7040880" y="73464420"/>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10</xdr:col>
      <xdr:colOff>272415</xdr:colOff>
      <xdr:row>297</xdr:row>
      <xdr:rowOff>175260</xdr:rowOff>
    </xdr:from>
    <xdr:ext cx="784830" cy="392415"/>
    <xdr:sp macro="" textlink="">
      <xdr:nvSpPr>
        <xdr:cNvPr id="108" name="テキスト ボックス 107">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317</xdr:row>
      <xdr:rowOff>0</xdr:rowOff>
    </xdr:from>
    <xdr:ext cx="1480213" cy="392415"/>
    <xdr:sp macro="" textlink="">
      <xdr:nvSpPr>
        <xdr:cNvPr id="122" name="テキスト ボックス 121">
          <a:extLst>
            <a:ext uri="{FF2B5EF4-FFF2-40B4-BE49-F238E27FC236}">
              <a16:creationId xmlns:a16="http://schemas.microsoft.com/office/drawing/2014/main" id="{00000000-0008-0000-0500-000080000000}"/>
            </a:ext>
          </a:extLst>
        </xdr:cNvPr>
        <xdr:cNvSpPr txBox="1"/>
      </xdr:nvSpPr>
      <xdr:spPr>
        <a:xfrm>
          <a:off x="9124950" y="762000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316</xdr:row>
      <xdr:rowOff>0</xdr:rowOff>
    </xdr:from>
    <xdr:ext cx="1183273" cy="392415"/>
    <xdr:sp macro="" textlink="">
      <xdr:nvSpPr>
        <xdr:cNvPr id="124" name="テキスト ボックス 123">
          <a:extLst>
            <a:ext uri="{FF2B5EF4-FFF2-40B4-BE49-F238E27FC236}">
              <a16:creationId xmlns:a16="http://schemas.microsoft.com/office/drawing/2014/main" id="{00000000-0008-0000-0500-00007F000000}"/>
            </a:ext>
          </a:extLst>
        </xdr:cNvPr>
        <xdr:cNvSpPr txBox="1"/>
      </xdr:nvSpPr>
      <xdr:spPr>
        <a:xfrm>
          <a:off x="11439525" y="7596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266</xdr:row>
      <xdr:rowOff>0</xdr:rowOff>
    </xdr:from>
    <xdr:ext cx="1877437" cy="392415"/>
    <xdr:sp macro="" textlink="">
      <xdr:nvSpPr>
        <xdr:cNvPr id="128" name="テキスト ボックス 127">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296</xdr:row>
      <xdr:rowOff>0</xdr:rowOff>
    </xdr:from>
    <xdr:ext cx="1877437" cy="392415"/>
    <xdr:sp macro="" textlink="">
      <xdr:nvSpPr>
        <xdr:cNvPr id="130" name="テキスト ボックス 129">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299</xdr:row>
      <xdr:rowOff>0</xdr:rowOff>
    </xdr:from>
    <xdr:ext cx="3642985" cy="392415"/>
    <xdr:sp macro="" textlink="">
      <xdr:nvSpPr>
        <xdr:cNvPr id="135" name="テキスト ボックス 134">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5"/>
  <sheetViews>
    <sheetView showGridLines="0" zoomScaleNormal="100" workbookViewId="0">
      <selection activeCell="H16" sqref="H16"/>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27" t="str">
        <f>R7&amp;"登録"</f>
        <v>バックアップ_処方データ_組入れ第一条件登録</v>
      </c>
      <c r="D4" s="128"/>
      <c r="E4" s="128"/>
      <c r="F4" s="128"/>
      <c r="G4" s="128"/>
      <c r="H4" s="128"/>
      <c r="I4" s="128"/>
      <c r="J4" s="128"/>
      <c r="K4" s="128"/>
      <c r="L4" s="128"/>
      <c r="M4" s="128"/>
      <c r="N4" s="128"/>
      <c r="O4" s="128"/>
      <c r="P4" s="128"/>
      <c r="Q4" s="128"/>
      <c r="R4" s="128"/>
      <c r="S4" s="128"/>
      <c r="T4" s="128"/>
      <c r="U4" s="129"/>
      <c r="W4" s="35" t="str">
        <f>"-- "&amp;C4</f>
        <v>-- バックアップ_処方データ_組入れ第一条件登録</v>
      </c>
    </row>
    <row r="5" spans="2:23" ht="18.75" customHeight="1">
      <c r="B5" s="43" t="s">
        <v>159</v>
      </c>
      <c r="C5" s="116" t="s">
        <v>3185</v>
      </c>
      <c r="D5" s="117"/>
      <c r="E5" s="117"/>
      <c r="F5" s="117"/>
      <c r="G5" s="117"/>
      <c r="H5" s="117"/>
      <c r="I5" s="117"/>
      <c r="J5" s="117"/>
      <c r="K5" s="117"/>
      <c r="L5" s="117"/>
      <c r="M5" s="117"/>
      <c r="N5" s="117"/>
      <c r="O5" s="117"/>
      <c r="P5" s="117"/>
      <c r="Q5" s="117"/>
      <c r="R5" s="117"/>
      <c r="S5" s="117"/>
      <c r="T5" s="117"/>
      <c r="U5" s="118"/>
      <c r="W5" s="35" t="str">
        <f>"-- "&amp;C5</f>
        <v>-- 処方データテーブルから組入れ条件の第一条件で絞り込んだ結果の患者IDの一覧をバックアップ_処方データ_組み入れ第一条件テーブルに格納する。</v>
      </c>
    </row>
    <row r="7" spans="2:23" ht="18.75" customHeight="1">
      <c r="C7" s="119" t="s">
        <v>3184</v>
      </c>
      <c r="D7" s="120"/>
      <c r="E7" s="123" t="s">
        <v>162</v>
      </c>
      <c r="F7" s="36"/>
      <c r="G7" s="36"/>
      <c r="H7" s="36"/>
      <c r="I7" s="36"/>
      <c r="J7" s="36"/>
      <c r="K7" s="36"/>
      <c r="L7" s="36"/>
      <c r="M7" s="36"/>
      <c r="N7" s="36"/>
      <c r="O7" s="36"/>
      <c r="P7" s="36"/>
      <c r="Q7" s="36"/>
      <c r="R7" s="119" t="str">
        <f>"バックアップ_"&amp;C7&amp;"_組入れ第一条件"</f>
        <v>バックアップ_処方データ_組入れ第一条件</v>
      </c>
      <c r="S7" s="120"/>
      <c r="T7" s="125" t="str">
        <f>エンティティ一覧!$O$2</f>
        <v>milscm_2023_007</v>
      </c>
    </row>
    <row r="8" spans="2:23" ht="18.75" customHeight="1">
      <c r="C8" s="121"/>
      <c r="D8" s="122"/>
      <c r="E8" s="124"/>
      <c r="F8" s="37"/>
      <c r="G8" s="37"/>
      <c r="H8" s="37"/>
      <c r="I8" s="37"/>
      <c r="J8" s="37"/>
      <c r="K8" s="37"/>
      <c r="L8" s="37"/>
      <c r="M8" s="37"/>
      <c r="N8" s="37"/>
      <c r="O8" s="37"/>
      <c r="P8" s="37"/>
      <c r="Q8" s="37"/>
      <c r="R8" s="121"/>
      <c r="S8" s="122"/>
      <c r="T8" s="126"/>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27" t="str">
        <f>R21&amp;"登録"</f>
        <v>バックアップ_患者マスタ_組入れ第一条件登録</v>
      </c>
      <c r="D18" s="128"/>
      <c r="E18" s="128"/>
      <c r="F18" s="128"/>
      <c r="G18" s="128"/>
      <c r="H18" s="128"/>
      <c r="I18" s="128"/>
      <c r="J18" s="128"/>
      <c r="K18" s="128"/>
      <c r="L18" s="128"/>
      <c r="M18" s="128"/>
      <c r="N18" s="128"/>
      <c r="O18" s="128"/>
      <c r="P18" s="128"/>
      <c r="Q18" s="128"/>
      <c r="R18" s="128"/>
      <c r="S18" s="128"/>
      <c r="T18" s="128"/>
      <c r="U18" s="129"/>
      <c r="W18" s="35" t="str">
        <f>"-- "&amp;C18</f>
        <v>-- バックアップ_患者マスタ_組入れ第一条件登録</v>
      </c>
    </row>
    <row r="19" spans="2:23" ht="18.75" customHeight="1">
      <c r="B19" s="43" t="s">
        <v>159</v>
      </c>
      <c r="C19" s="116"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17"/>
      <c r="E19" s="117"/>
      <c r="F19" s="117"/>
      <c r="G19" s="117"/>
      <c r="H19" s="117"/>
      <c r="I19" s="117"/>
      <c r="J19" s="117"/>
      <c r="K19" s="117"/>
      <c r="L19" s="117"/>
      <c r="M19" s="117"/>
      <c r="N19" s="117"/>
      <c r="O19" s="117"/>
      <c r="P19" s="117"/>
      <c r="Q19" s="117"/>
      <c r="R19" s="117"/>
      <c r="S19" s="117"/>
      <c r="T19" s="117"/>
      <c r="U19" s="118"/>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19" t="s">
        <v>3187</v>
      </c>
      <c r="I21" s="120"/>
      <c r="J21" s="123" t="s">
        <v>162</v>
      </c>
      <c r="K21" s="36"/>
      <c r="M21" s="36"/>
      <c r="N21" s="36"/>
      <c r="O21" s="36"/>
      <c r="R21" s="119" t="s">
        <v>3690</v>
      </c>
      <c r="S21" s="120"/>
      <c r="T21" s="125" t="str">
        <f>エンティティ一覧!$O$2</f>
        <v>milscm_2023_007</v>
      </c>
    </row>
    <row r="22" spans="2:23" ht="18.75" customHeight="1">
      <c r="H22" s="121"/>
      <c r="I22" s="122"/>
      <c r="J22" s="124"/>
      <c r="K22" s="37"/>
      <c r="L22" s="38"/>
      <c r="M22" s="37"/>
      <c r="N22" s="37"/>
      <c r="O22" s="37"/>
      <c r="P22" s="37"/>
      <c r="Q22" s="38"/>
      <c r="R22" s="121"/>
      <c r="S22" s="122"/>
      <c r="T22" s="126"/>
    </row>
    <row r="23" spans="2:23" ht="18.75" customHeight="1">
      <c r="K23" s="39"/>
      <c r="L23" s="40"/>
      <c r="P23" s="39"/>
      <c r="Q23" s="40"/>
    </row>
    <row r="24" spans="2:23" ht="18.75" customHeight="1">
      <c r="C24" s="119" t="s">
        <v>3187</v>
      </c>
      <c r="D24" s="120"/>
      <c r="E24" s="123" t="s">
        <v>162</v>
      </c>
      <c r="H24" s="36"/>
      <c r="I24" s="36"/>
      <c r="J24" s="36"/>
      <c r="L24" s="41"/>
      <c r="P24" s="39"/>
      <c r="Q24" s="40"/>
    </row>
    <row r="25" spans="2:23" ht="18.75" customHeight="1">
      <c r="C25" s="121"/>
      <c r="D25" s="122"/>
      <c r="E25" s="124"/>
      <c r="F25" s="37"/>
      <c r="G25" s="38"/>
      <c r="H25" s="37"/>
      <c r="I25" s="37"/>
      <c r="J25" s="37"/>
      <c r="K25" s="37"/>
      <c r="P25" s="39"/>
      <c r="Q25" s="40"/>
    </row>
    <row r="26" spans="2:23" ht="18.75" customHeight="1">
      <c r="F26" s="39"/>
      <c r="G26" s="40"/>
      <c r="P26" s="39"/>
      <c r="Q26" s="40"/>
    </row>
    <row r="27" spans="2:23" ht="18.75" customHeight="1">
      <c r="C27" s="119" t="s">
        <v>3186</v>
      </c>
      <c r="D27" s="120"/>
      <c r="E27" s="125" t="str">
        <f>エンティティ一覧!$O$2</f>
        <v>milscm_2023_007</v>
      </c>
      <c r="G27" s="41"/>
      <c r="P27" s="39"/>
      <c r="Q27" s="40"/>
    </row>
    <row r="28" spans="2:23" ht="18.75" customHeight="1">
      <c r="C28" s="121"/>
      <c r="D28" s="122"/>
      <c r="E28" s="126"/>
      <c r="F28" s="37"/>
      <c r="P28" s="39"/>
      <c r="Q28" s="40"/>
    </row>
    <row r="29" spans="2:23" ht="18.75" customHeight="1">
      <c r="P29" s="39"/>
      <c r="Q29" s="40"/>
    </row>
    <row r="30" spans="2:23" ht="18.75" customHeight="1">
      <c r="M30" s="119" t="s">
        <v>3677</v>
      </c>
      <c r="N30" s="120"/>
      <c r="O30" s="123" t="s">
        <v>162</v>
      </c>
      <c r="Q30" s="41"/>
    </row>
    <row r="31" spans="2:23" ht="18.75" customHeight="1">
      <c r="M31" s="121"/>
      <c r="N31" s="122"/>
      <c r="O31" s="124"/>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27" t="str">
        <f>R40&amp;"登録"</f>
        <v>バックアップ_処方データ登録</v>
      </c>
      <c r="D37" s="128"/>
      <c r="E37" s="128"/>
      <c r="F37" s="128"/>
      <c r="G37" s="128"/>
      <c r="H37" s="128"/>
      <c r="I37" s="128"/>
      <c r="J37" s="128"/>
      <c r="K37" s="128"/>
      <c r="L37" s="128"/>
      <c r="M37" s="128"/>
      <c r="N37" s="128"/>
      <c r="O37" s="128"/>
      <c r="P37" s="128"/>
      <c r="Q37" s="128"/>
      <c r="R37" s="128"/>
      <c r="S37" s="128"/>
      <c r="T37" s="128"/>
      <c r="U37" s="129"/>
      <c r="W37" s="35" t="str">
        <f>"-- "&amp;C37</f>
        <v>-- バックアップ_処方データ登録</v>
      </c>
    </row>
    <row r="38" spans="2:23" ht="18.75" customHeight="1">
      <c r="B38" s="43" t="s">
        <v>159</v>
      </c>
      <c r="C38" s="116"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17"/>
      <c r="E38" s="117"/>
      <c r="F38" s="117"/>
      <c r="G38" s="117"/>
      <c r="H38" s="117"/>
      <c r="I38" s="117"/>
      <c r="J38" s="117"/>
      <c r="K38" s="117"/>
      <c r="L38" s="117"/>
      <c r="M38" s="117"/>
      <c r="N38" s="117"/>
      <c r="O38" s="117"/>
      <c r="P38" s="117"/>
      <c r="Q38" s="117"/>
      <c r="R38" s="117"/>
      <c r="S38" s="117"/>
      <c r="T38" s="117"/>
      <c r="U38" s="118"/>
      <c r="W38" s="35" t="str">
        <f>"-- "&amp;C38</f>
        <v>-- 処方データテーブルから組入れ条件の第一条件で絞り込んだ結果をバックアップ_処方データテーブルに格納する。</v>
      </c>
    </row>
    <row r="40" spans="2:23" ht="18.75" customHeight="1">
      <c r="C40" s="119" t="s">
        <v>3490</v>
      </c>
      <c r="D40" s="120"/>
      <c r="E40" s="123" t="s">
        <v>162</v>
      </c>
      <c r="H40" s="36"/>
      <c r="I40" s="36"/>
      <c r="J40" s="36"/>
      <c r="K40" s="36"/>
      <c r="L40" s="36"/>
      <c r="M40" s="36"/>
      <c r="N40" s="36"/>
      <c r="O40" s="36"/>
      <c r="P40" s="36"/>
      <c r="Q40" s="36"/>
      <c r="R40" s="119" t="str">
        <f>"バックアップ_"&amp;SUBSTITUTE(C40,"_結合","")</f>
        <v>バックアップ_処方データ</v>
      </c>
      <c r="S40" s="120"/>
      <c r="T40" s="125" t="str">
        <f>エンティティ一覧!$O$2</f>
        <v>milscm_2023_007</v>
      </c>
    </row>
    <row r="41" spans="2:23" ht="18.75" customHeight="1">
      <c r="C41" s="121"/>
      <c r="D41" s="122"/>
      <c r="E41" s="124"/>
      <c r="F41" s="37"/>
      <c r="G41" s="38"/>
      <c r="H41" s="37"/>
      <c r="I41" s="37"/>
      <c r="J41" s="37"/>
      <c r="K41" s="37"/>
      <c r="L41" s="37"/>
      <c r="M41" s="37"/>
      <c r="N41" s="37"/>
      <c r="O41" s="37"/>
      <c r="P41" s="37"/>
      <c r="Q41" s="37"/>
      <c r="R41" s="121"/>
      <c r="S41" s="122"/>
      <c r="T41" s="126"/>
    </row>
    <row r="42" spans="2:23" ht="18.75" customHeight="1">
      <c r="F42" s="39"/>
      <c r="G42" s="40"/>
    </row>
    <row r="43" spans="2:23" ht="18.75" customHeight="1">
      <c r="C43" s="119" t="s">
        <v>3188</v>
      </c>
      <c r="D43" s="120"/>
      <c r="E43" s="125" t="str">
        <f>エンティティ一覧!$O$2</f>
        <v>milscm_2023_007</v>
      </c>
      <c r="G43" s="41"/>
    </row>
    <row r="44" spans="2:23" ht="18.75" customHeight="1">
      <c r="C44" s="121"/>
      <c r="D44" s="122"/>
      <c r="E44" s="126"/>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27" t="str">
        <f>R52&amp;"登録"</f>
        <v>バックアップ_診療行為データ登録</v>
      </c>
      <c r="D49" s="128"/>
      <c r="E49" s="128"/>
      <c r="F49" s="128"/>
      <c r="G49" s="128"/>
      <c r="H49" s="128"/>
      <c r="I49" s="128"/>
      <c r="J49" s="128"/>
      <c r="K49" s="128"/>
      <c r="L49" s="128"/>
      <c r="M49" s="128"/>
      <c r="N49" s="128"/>
      <c r="O49" s="128"/>
      <c r="P49" s="128"/>
      <c r="Q49" s="128"/>
      <c r="R49" s="128"/>
      <c r="S49" s="128"/>
      <c r="T49" s="128"/>
      <c r="U49" s="129"/>
      <c r="W49" s="35" t="str">
        <f>"-- "&amp;C49</f>
        <v>-- バックアップ_診療行為データ登録</v>
      </c>
    </row>
    <row r="50" spans="2:23" ht="18.75" customHeight="1">
      <c r="B50" s="43" t="s">
        <v>159</v>
      </c>
      <c r="C50" s="116"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17"/>
      <c r="E50" s="117"/>
      <c r="F50" s="117"/>
      <c r="G50" s="117"/>
      <c r="H50" s="117"/>
      <c r="I50" s="117"/>
      <c r="J50" s="117"/>
      <c r="K50" s="117"/>
      <c r="L50" s="117"/>
      <c r="M50" s="117"/>
      <c r="N50" s="117"/>
      <c r="O50" s="117"/>
      <c r="P50" s="117"/>
      <c r="Q50" s="117"/>
      <c r="R50" s="117"/>
      <c r="S50" s="117"/>
      <c r="T50" s="117"/>
      <c r="U50" s="118"/>
      <c r="W50" s="35" t="str">
        <f>"-- "&amp;C50</f>
        <v>-- 診療行為データテーブルから組入れ条件の第一条件で絞り込んだ結果をバックアップ_診療行為データテーブルに格納する。</v>
      </c>
    </row>
    <row r="52" spans="2:23" ht="18.75" customHeight="1">
      <c r="C52" s="119" t="s">
        <v>3489</v>
      </c>
      <c r="D52" s="120"/>
      <c r="E52" s="123" t="s">
        <v>162</v>
      </c>
      <c r="H52" s="36"/>
      <c r="I52" s="36"/>
      <c r="J52" s="36"/>
      <c r="K52" s="36"/>
      <c r="L52" s="36"/>
      <c r="M52" s="36"/>
      <c r="N52" s="36"/>
      <c r="O52" s="36"/>
      <c r="P52" s="36"/>
      <c r="Q52" s="36"/>
      <c r="R52" s="119" t="str">
        <f>"バックアップ_"&amp;SUBSTITUTE(C52,"_結合","")</f>
        <v>バックアップ_診療行為データ</v>
      </c>
      <c r="S52" s="120"/>
      <c r="T52" s="125" t="str">
        <f>エンティティ一覧!$O$2</f>
        <v>milscm_2023_007</v>
      </c>
    </row>
    <row r="53" spans="2:23" ht="18.75" customHeight="1">
      <c r="C53" s="121"/>
      <c r="D53" s="122"/>
      <c r="E53" s="124"/>
      <c r="F53" s="37"/>
      <c r="G53" s="38"/>
      <c r="H53" s="37"/>
      <c r="I53" s="37"/>
      <c r="J53" s="37"/>
      <c r="K53" s="37"/>
      <c r="L53" s="37"/>
      <c r="M53" s="37"/>
      <c r="N53" s="37"/>
      <c r="O53" s="37"/>
      <c r="P53" s="37"/>
      <c r="Q53" s="37"/>
      <c r="R53" s="121"/>
      <c r="S53" s="122"/>
      <c r="T53" s="126"/>
    </row>
    <row r="54" spans="2:23" ht="18.75" customHeight="1">
      <c r="F54" s="39"/>
      <c r="G54" s="40"/>
    </row>
    <row r="55" spans="2:23" ht="18.75" customHeight="1">
      <c r="C55" s="119" t="s">
        <v>3188</v>
      </c>
      <c r="D55" s="120"/>
      <c r="E55" s="125" t="str">
        <f>エンティティ一覧!$O$2</f>
        <v>milscm_2023_007</v>
      </c>
      <c r="G55" s="41"/>
    </row>
    <row r="56" spans="2:23" ht="18.75" customHeight="1">
      <c r="C56" s="121"/>
      <c r="D56" s="122"/>
      <c r="E56" s="126"/>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27" t="str">
        <f>R64&amp;"登録"</f>
        <v>バックアップ_疾患データ登録</v>
      </c>
      <c r="D61" s="128"/>
      <c r="E61" s="128"/>
      <c r="F61" s="128"/>
      <c r="G61" s="128"/>
      <c r="H61" s="128"/>
      <c r="I61" s="128"/>
      <c r="J61" s="128"/>
      <c r="K61" s="128"/>
      <c r="L61" s="128"/>
      <c r="M61" s="128"/>
      <c r="N61" s="128"/>
      <c r="O61" s="128"/>
      <c r="P61" s="128"/>
      <c r="Q61" s="128"/>
      <c r="R61" s="128"/>
      <c r="S61" s="128"/>
      <c r="T61" s="128"/>
      <c r="U61" s="129"/>
      <c r="W61" s="35" t="str">
        <f>"-- "&amp;C61</f>
        <v>-- バックアップ_疾患データ登録</v>
      </c>
    </row>
    <row r="62" spans="2:23" ht="18.75" customHeight="1">
      <c r="B62" s="43" t="s">
        <v>159</v>
      </c>
      <c r="C62" s="116"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17"/>
      <c r="E62" s="117"/>
      <c r="F62" s="117"/>
      <c r="G62" s="117"/>
      <c r="H62" s="117"/>
      <c r="I62" s="117"/>
      <c r="J62" s="117"/>
      <c r="K62" s="117"/>
      <c r="L62" s="117"/>
      <c r="M62" s="117"/>
      <c r="N62" s="117"/>
      <c r="O62" s="117"/>
      <c r="P62" s="117"/>
      <c r="Q62" s="117"/>
      <c r="R62" s="117"/>
      <c r="S62" s="117"/>
      <c r="T62" s="117"/>
      <c r="U62" s="118"/>
      <c r="W62" s="35" t="str">
        <f>"-- "&amp;C62</f>
        <v>-- 疾患データテーブルから組入れ条件の第一条件で絞り込んだ結果をバックアップ_疾患データテーブルに格納する。</v>
      </c>
    </row>
    <row r="64" spans="2:23" ht="18.75" customHeight="1">
      <c r="C64" s="119" t="s">
        <v>3492</v>
      </c>
      <c r="D64" s="120"/>
      <c r="E64" s="123" t="s">
        <v>162</v>
      </c>
      <c r="H64" s="36"/>
      <c r="I64" s="36"/>
      <c r="J64" s="36"/>
      <c r="K64" s="36"/>
      <c r="L64" s="36"/>
      <c r="M64" s="36"/>
      <c r="N64" s="36"/>
      <c r="O64" s="36"/>
      <c r="P64" s="36"/>
      <c r="Q64" s="36"/>
      <c r="R64" s="119" t="str">
        <f>"バックアップ_"&amp;SUBSTITUTE(C64,"_結合","")</f>
        <v>バックアップ_疾患データ</v>
      </c>
      <c r="S64" s="120"/>
      <c r="T64" s="125" t="str">
        <f>エンティティ一覧!$O$2</f>
        <v>milscm_2023_007</v>
      </c>
    </row>
    <row r="65" spans="2:23" ht="18.75" customHeight="1">
      <c r="C65" s="121"/>
      <c r="D65" s="122"/>
      <c r="E65" s="124"/>
      <c r="F65" s="37"/>
      <c r="G65" s="38"/>
      <c r="H65" s="37"/>
      <c r="I65" s="37"/>
      <c r="J65" s="37"/>
      <c r="K65" s="37"/>
      <c r="L65" s="37"/>
      <c r="M65" s="37"/>
      <c r="N65" s="37"/>
      <c r="O65" s="37"/>
      <c r="P65" s="37"/>
      <c r="Q65" s="37"/>
      <c r="R65" s="121"/>
      <c r="S65" s="122"/>
      <c r="T65" s="126"/>
    </row>
    <row r="66" spans="2:23" ht="18.75" customHeight="1">
      <c r="F66" s="39"/>
      <c r="G66" s="40"/>
    </row>
    <row r="67" spans="2:23" ht="18.75" customHeight="1">
      <c r="C67" s="119" t="s">
        <v>3188</v>
      </c>
      <c r="D67" s="120"/>
      <c r="E67" s="125" t="str">
        <f>エンティティ一覧!$O$2</f>
        <v>milscm_2023_007</v>
      </c>
      <c r="G67" s="41"/>
    </row>
    <row r="68" spans="2:23" ht="18.75" customHeight="1">
      <c r="C68" s="121"/>
      <c r="D68" s="122"/>
      <c r="E68" s="126"/>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27" t="str">
        <f>R76&amp;"登録"</f>
        <v>バックアップ_疾患診療科データ登録</v>
      </c>
      <c r="D73" s="128"/>
      <c r="E73" s="128"/>
      <c r="F73" s="128"/>
      <c r="G73" s="128"/>
      <c r="H73" s="128"/>
      <c r="I73" s="128"/>
      <c r="J73" s="128"/>
      <c r="K73" s="128"/>
      <c r="L73" s="128"/>
      <c r="M73" s="128"/>
      <c r="N73" s="128"/>
      <c r="O73" s="128"/>
      <c r="P73" s="128"/>
      <c r="Q73" s="128"/>
      <c r="R73" s="128"/>
      <c r="S73" s="128"/>
      <c r="T73" s="128"/>
      <c r="U73" s="129"/>
      <c r="W73" s="35" t="str">
        <f>"-- "&amp;C73</f>
        <v>-- バックアップ_疾患診療科データ登録</v>
      </c>
    </row>
    <row r="74" spans="2:23" ht="18.75" customHeight="1">
      <c r="B74" s="43" t="s">
        <v>159</v>
      </c>
      <c r="C74" s="116"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17"/>
      <c r="E74" s="117"/>
      <c r="F74" s="117"/>
      <c r="G74" s="117"/>
      <c r="H74" s="117"/>
      <c r="I74" s="117"/>
      <c r="J74" s="117"/>
      <c r="K74" s="117"/>
      <c r="L74" s="117"/>
      <c r="M74" s="117"/>
      <c r="N74" s="117"/>
      <c r="O74" s="117"/>
      <c r="P74" s="117"/>
      <c r="Q74" s="117"/>
      <c r="R74" s="117"/>
      <c r="S74" s="117"/>
      <c r="T74" s="117"/>
      <c r="U74" s="118"/>
      <c r="W74" s="35" t="str">
        <f>"-- "&amp;C74</f>
        <v>-- 疾患診療科データテーブルから組入れ条件の第一条件で絞り込んだ結果をバックアップ_疾患診療科データテーブルに格納する。</v>
      </c>
    </row>
    <row r="76" spans="2:23" ht="18.75" customHeight="1">
      <c r="C76" s="119" t="s">
        <v>3494</v>
      </c>
      <c r="D76" s="120"/>
      <c r="E76" s="123" t="s">
        <v>162</v>
      </c>
      <c r="F76" s="36"/>
      <c r="G76" s="36"/>
      <c r="H76" s="36"/>
      <c r="I76" s="36"/>
      <c r="J76" s="36"/>
      <c r="K76" s="36"/>
      <c r="L76" s="36"/>
      <c r="M76" s="36"/>
      <c r="N76" s="36"/>
      <c r="O76" s="36"/>
      <c r="P76" s="36"/>
      <c r="Q76" s="36"/>
      <c r="R76" s="119" t="str">
        <f>"バックアップ_"&amp;SUBSTITUTE(C76,"_結合","")</f>
        <v>バックアップ_疾患診療科データ</v>
      </c>
      <c r="S76" s="120"/>
      <c r="T76" s="125" t="str">
        <f>エンティティ一覧!$O$2</f>
        <v>milscm_2023_007</v>
      </c>
    </row>
    <row r="77" spans="2:23" ht="18.75" customHeight="1">
      <c r="C77" s="121"/>
      <c r="D77" s="122"/>
      <c r="E77" s="124"/>
      <c r="F77" s="37"/>
      <c r="G77" s="37"/>
      <c r="H77" s="37"/>
      <c r="I77" s="37"/>
      <c r="J77" s="37"/>
      <c r="K77" s="37"/>
      <c r="L77" s="37"/>
      <c r="M77" s="37"/>
      <c r="N77" s="37"/>
      <c r="O77" s="37"/>
      <c r="P77" s="37"/>
      <c r="Q77" s="37"/>
      <c r="R77" s="121"/>
      <c r="S77" s="122"/>
      <c r="T77" s="126"/>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27" t="str">
        <f>R85&amp;"登録"</f>
        <v>バックアップ_入院退院データ登録</v>
      </c>
      <c r="D82" s="128"/>
      <c r="E82" s="128"/>
      <c r="F82" s="128"/>
      <c r="G82" s="128"/>
      <c r="H82" s="128"/>
      <c r="I82" s="128"/>
      <c r="J82" s="128"/>
      <c r="K82" s="128"/>
      <c r="L82" s="128"/>
      <c r="M82" s="128"/>
      <c r="N82" s="128"/>
      <c r="O82" s="128"/>
      <c r="P82" s="128"/>
      <c r="Q82" s="128"/>
      <c r="R82" s="128"/>
      <c r="S82" s="128"/>
      <c r="T82" s="128"/>
      <c r="U82" s="129"/>
      <c r="W82" s="35" t="str">
        <f>"-- "&amp;C82</f>
        <v>-- バックアップ_入院退院データ登録</v>
      </c>
    </row>
    <row r="83" spans="2:23" ht="18.75" customHeight="1">
      <c r="B83" s="43" t="s">
        <v>159</v>
      </c>
      <c r="C83" s="116"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17"/>
      <c r="E83" s="117"/>
      <c r="F83" s="117"/>
      <c r="G83" s="117"/>
      <c r="H83" s="117"/>
      <c r="I83" s="117"/>
      <c r="J83" s="117"/>
      <c r="K83" s="117"/>
      <c r="L83" s="117"/>
      <c r="M83" s="117"/>
      <c r="N83" s="117"/>
      <c r="O83" s="117"/>
      <c r="P83" s="117"/>
      <c r="Q83" s="117"/>
      <c r="R83" s="117"/>
      <c r="S83" s="117"/>
      <c r="T83" s="117"/>
      <c r="U83" s="118"/>
      <c r="W83" s="35" t="str">
        <f>"-- "&amp;C83</f>
        <v>-- 入院退院データテーブルから組入れ条件の第一条件で絞り込んだ結果をバックアップ_入院退院データテーブルに格納する。</v>
      </c>
    </row>
    <row r="85" spans="2:23" ht="18.75" customHeight="1">
      <c r="C85" s="119" t="s">
        <v>3496</v>
      </c>
      <c r="D85" s="120"/>
      <c r="E85" s="123" t="s">
        <v>162</v>
      </c>
      <c r="H85" s="36"/>
      <c r="I85" s="36"/>
      <c r="J85" s="36"/>
      <c r="K85" s="36"/>
      <c r="L85" s="36"/>
      <c r="M85" s="36"/>
      <c r="N85" s="36"/>
      <c r="O85" s="36"/>
      <c r="P85" s="36"/>
      <c r="Q85" s="36"/>
      <c r="R85" s="119" t="str">
        <f>"バックアップ_"&amp;SUBSTITUTE(C85,"_結合","")</f>
        <v>バックアップ_入院退院データ</v>
      </c>
      <c r="S85" s="120"/>
      <c r="T85" s="125" t="str">
        <f>エンティティ一覧!$O$2</f>
        <v>milscm_2023_007</v>
      </c>
    </row>
    <row r="86" spans="2:23" ht="18.75" customHeight="1">
      <c r="C86" s="121"/>
      <c r="D86" s="122"/>
      <c r="E86" s="124"/>
      <c r="F86" s="37"/>
      <c r="G86" s="38"/>
      <c r="H86" s="37"/>
      <c r="I86" s="37"/>
      <c r="J86" s="37"/>
      <c r="K86" s="37"/>
      <c r="L86" s="37"/>
      <c r="M86" s="37"/>
      <c r="N86" s="37"/>
      <c r="O86" s="37"/>
      <c r="P86" s="37"/>
      <c r="Q86" s="37"/>
      <c r="R86" s="121"/>
      <c r="S86" s="122"/>
      <c r="T86" s="126"/>
    </row>
    <row r="87" spans="2:23" ht="18.75" customHeight="1">
      <c r="F87" s="39"/>
      <c r="G87" s="40"/>
    </row>
    <row r="88" spans="2:23" ht="18.75" customHeight="1">
      <c r="C88" s="119" t="s">
        <v>3188</v>
      </c>
      <c r="D88" s="120"/>
      <c r="E88" s="125" t="str">
        <f>エンティティ一覧!$O$2</f>
        <v>milscm_2023_007</v>
      </c>
      <c r="G88" s="41"/>
    </row>
    <row r="89" spans="2:23" ht="18.75" customHeight="1">
      <c r="C89" s="121"/>
      <c r="D89" s="122"/>
      <c r="E89" s="126"/>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27" t="str">
        <f>R97&amp;"登録"</f>
        <v>バックアップ_二次利用DB登録患者データ登録</v>
      </c>
      <c r="D94" s="128"/>
      <c r="E94" s="128"/>
      <c r="F94" s="128"/>
      <c r="G94" s="128"/>
      <c r="H94" s="128"/>
      <c r="I94" s="128"/>
      <c r="J94" s="128"/>
      <c r="K94" s="128"/>
      <c r="L94" s="128"/>
      <c r="M94" s="128"/>
      <c r="N94" s="128"/>
      <c r="O94" s="128"/>
      <c r="P94" s="128"/>
      <c r="Q94" s="128"/>
      <c r="R94" s="128"/>
      <c r="S94" s="128"/>
      <c r="T94" s="128"/>
      <c r="U94" s="129"/>
      <c r="W94" s="35" t="str">
        <f>"-- "&amp;C94</f>
        <v>-- バックアップ_二次利用DB登録患者データ登録</v>
      </c>
    </row>
    <row r="95" spans="2:23" ht="18.75" customHeight="1">
      <c r="B95" s="43" t="s">
        <v>159</v>
      </c>
      <c r="C95" s="116"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17"/>
      <c r="E95" s="117"/>
      <c r="F95" s="117"/>
      <c r="G95" s="117"/>
      <c r="H95" s="117"/>
      <c r="I95" s="117"/>
      <c r="J95" s="117"/>
      <c r="K95" s="117"/>
      <c r="L95" s="117"/>
      <c r="M95" s="117"/>
      <c r="N95" s="117"/>
      <c r="O95" s="117"/>
      <c r="P95" s="117"/>
      <c r="Q95" s="117"/>
      <c r="R95" s="117"/>
      <c r="S95" s="117"/>
      <c r="T95" s="117"/>
      <c r="U95" s="118"/>
      <c r="W95" s="35" t="str">
        <f>"-- "&amp;C95</f>
        <v>-- 二次利用DB登録患者データテーブルから組入れ条件の第一条件で絞り込んだ結果をバックアップ_二次利用DB登録患者データテーブルに格納する。</v>
      </c>
    </row>
    <row r="97" spans="2:23" ht="18.75" customHeight="1">
      <c r="C97" s="119" t="s">
        <v>3498</v>
      </c>
      <c r="D97" s="120"/>
      <c r="E97" s="123" t="s">
        <v>162</v>
      </c>
      <c r="H97" s="36"/>
      <c r="I97" s="36"/>
      <c r="J97" s="36"/>
      <c r="K97" s="36"/>
      <c r="L97" s="36"/>
      <c r="M97" s="36"/>
      <c r="N97" s="36"/>
      <c r="O97" s="36"/>
      <c r="P97" s="36"/>
      <c r="Q97" s="36"/>
      <c r="R97" s="119" t="str">
        <f>"バックアップ_"&amp;SUBSTITUTE(C97,"_結合","")</f>
        <v>バックアップ_二次利用DB登録患者データ</v>
      </c>
      <c r="S97" s="120"/>
      <c r="T97" s="125" t="str">
        <f>エンティティ一覧!$O$2</f>
        <v>milscm_2023_007</v>
      </c>
    </row>
    <row r="98" spans="2:23" ht="18.75" customHeight="1">
      <c r="C98" s="121"/>
      <c r="D98" s="122"/>
      <c r="E98" s="124"/>
      <c r="F98" s="37"/>
      <c r="G98" s="38"/>
      <c r="H98" s="37"/>
      <c r="I98" s="37"/>
      <c r="J98" s="37"/>
      <c r="K98" s="37"/>
      <c r="L98" s="37"/>
      <c r="M98" s="37"/>
      <c r="N98" s="37"/>
      <c r="O98" s="37"/>
      <c r="P98" s="37"/>
      <c r="Q98" s="37"/>
      <c r="R98" s="121"/>
      <c r="S98" s="122"/>
      <c r="T98" s="126"/>
    </row>
    <row r="99" spans="2:23" ht="18.75" customHeight="1">
      <c r="F99" s="39"/>
      <c r="G99" s="40"/>
    </row>
    <row r="100" spans="2:23" ht="18.75" customHeight="1">
      <c r="C100" s="119" t="s">
        <v>3188</v>
      </c>
      <c r="D100" s="120"/>
      <c r="E100" s="125" t="str">
        <f>エンティティ一覧!$O$2</f>
        <v>milscm_2023_007</v>
      </c>
      <c r="G100" s="41"/>
    </row>
    <row r="101" spans="2:23" ht="18.75" customHeight="1">
      <c r="C101" s="121"/>
      <c r="D101" s="122"/>
      <c r="E101" s="126"/>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27" t="str">
        <f>R109&amp;"登録"</f>
        <v>バックアップ_二次利用DB登録患者データ_DPC登録</v>
      </c>
      <c r="D106" s="128"/>
      <c r="E106" s="128"/>
      <c r="F106" s="128"/>
      <c r="G106" s="128"/>
      <c r="H106" s="128"/>
      <c r="I106" s="128"/>
      <c r="J106" s="128"/>
      <c r="K106" s="128"/>
      <c r="L106" s="128"/>
      <c r="M106" s="128"/>
      <c r="N106" s="128"/>
      <c r="O106" s="128"/>
      <c r="P106" s="128"/>
      <c r="Q106" s="128"/>
      <c r="R106" s="128"/>
      <c r="S106" s="128"/>
      <c r="T106" s="128"/>
      <c r="U106" s="129"/>
      <c r="W106" s="35" t="str">
        <f>"-- "&amp;C106</f>
        <v>-- バックアップ_二次利用DB登録患者データ_DPC登録</v>
      </c>
    </row>
    <row r="107" spans="2:23" ht="18.75" customHeight="1">
      <c r="B107" s="43" t="s">
        <v>159</v>
      </c>
      <c r="C107" s="116"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17"/>
      <c r="E107" s="117"/>
      <c r="F107" s="117"/>
      <c r="G107" s="117"/>
      <c r="H107" s="117"/>
      <c r="I107" s="117"/>
      <c r="J107" s="117"/>
      <c r="K107" s="117"/>
      <c r="L107" s="117"/>
      <c r="M107" s="117"/>
      <c r="N107" s="117"/>
      <c r="O107" s="117"/>
      <c r="P107" s="117"/>
      <c r="Q107" s="117"/>
      <c r="R107" s="117"/>
      <c r="S107" s="117"/>
      <c r="T107" s="117"/>
      <c r="U107" s="118"/>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19" t="s">
        <v>3500</v>
      </c>
      <c r="D109" s="120"/>
      <c r="E109" s="123" t="s">
        <v>162</v>
      </c>
      <c r="H109" s="36"/>
      <c r="I109" s="36"/>
      <c r="J109" s="36"/>
      <c r="K109" s="36"/>
      <c r="L109" s="36"/>
      <c r="M109" s="36"/>
      <c r="N109" s="36"/>
      <c r="O109" s="36"/>
      <c r="P109" s="36"/>
      <c r="Q109" s="36"/>
      <c r="R109" s="119" t="str">
        <f>"バックアップ_"&amp;SUBSTITUTE(C109,"_結合","")</f>
        <v>バックアップ_二次利用DB登録患者データ_DPC</v>
      </c>
      <c r="S109" s="120"/>
      <c r="T109" s="125" t="str">
        <f>エンティティ一覧!$O$2</f>
        <v>milscm_2023_007</v>
      </c>
    </row>
    <row r="110" spans="2:23" ht="18.75" customHeight="1">
      <c r="C110" s="121"/>
      <c r="D110" s="122"/>
      <c r="E110" s="124"/>
      <c r="F110" s="37"/>
      <c r="G110" s="38"/>
      <c r="H110" s="37"/>
      <c r="I110" s="37"/>
      <c r="J110" s="37"/>
      <c r="K110" s="37"/>
      <c r="L110" s="37"/>
      <c r="M110" s="37"/>
      <c r="N110" s="37"/>
      <c r="O110" s="37"/>
      <c r="P110" s="37"/>
      <c r="Q110" s="37"/>
      <c r="R110" s="121"/>
      <c r="S110" s="122"/>
      <c r="T110" s="126"/>
    </row>
    <row r="111" spans="2:23" ht="18.75" customHeight="1">
      <c r="F111" s="39"/>
      <c r="G111" s="40"/>
    </row>
    <row r="112" spans="2:23" ht="18.75" customHeight="1">
      <c r="C112" s="119" t="s">
        <v>3188</v>
      </c>
      <c r="D112" s="120"/>
      <c r="E112" s="125" t="str">
        <f>エンティティ一覧!$O$2</f>
        <v>milscm_2023_007</v>
      </c>
      <c r="G112" s="41"/>
    </row>
    <row r="113" spans="2:23" ht="18.75" customHeight="1">
      <c r="C113" s="121"/>
      <c r="D113" s="122"/>
      <c r="E113" s="126"/>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27" t="str">
        <f>R121&amp;"登録"</f>
        <v>バックアップ_二次利用DB登録患者データ_レセプト登録</v>
      </c>
      <c r="D118" s="128"/>
      <c r="E118" s="128"/>
      <c r="F118" s="128"/>
      <c r="G118" s="128"/>
      <c r="H118" s="128"/>
      <c r="I118" s="128"/>
      <c r="J118" s="128"/>
      <c r="K118" s="128"/>
      <c r="L118" s="128"/>
      <c r="M118" s="128"/>
      <c r="N118" s="128"/>
      <c r="O118" s="128"/>
      <c r="P118" s="128"/>
      <c r="Q118" s="128"/>
      <c r="R118" s="128"/>
      <c r="S118" s="128"/>
      <c r="T118" s="128"/>
      <c r="U118" s="129"/>
      <c r="W118" s="35" t="str">
        <f>"-- "&amp;C118</f>
        <v>-- バックアップ_二次利用DB登録患者データ_レセプト登録</v>
      </c>
    </row>
    <row r="119" spans="2:23" ht="18.75" customHeight="1">
      <c r="B119" s="43" t="s">
        <v>159</v>
      </c>
      <c r="C119" s="116"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17"/>
      <c r="E119" s="117"/>
      <c r="F119" s="117"/>
      <c r="G119" s="117"/>
      <c r="H119" s="117"/>
      <c r="I119" s="117"/>
      <c r="J119" s="117"/>
      <c r="K119" s="117"/>
      <c r="L119" s="117"/>
      <c r="M119" s="117"/>
      <c r="N119" s="117"/>
      <c r="O119" s="117"/>
      <c r="P119" s="117"/>
      <c r="Q119" s="117"/>
      <c r="R119" s="117"/>
      <c r="S119" s="117"/>
      <c r="T119" s="117"/>
      <c r="U119" s="118"/>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19" t="s">
        <v>3502</v>
      </c>
      <c r="D121" s="120"/>
      <c r="E121" s="123" t="s">
        <v>162</v>
      </c>
      <c r="H121" s="36"/>
      <c r="I121" s="36"/>
      <c r="J121" s="36"/>
      <c r="K121" s="36"/>
      <c r="L121" s="36"/>
      <c r="M121" s="36"/>
      <c r="N121" s="36"/>
      <c r="O121" s="36"/>
      <c r="P121" s="36"/>
      <c r="Q121" s="36"/>
      <c r="R121" s="119" t="str">
        <f>"バックアップ_"&amp;SUBSTITUTE(C121,"_結合","")</f>
        <v>バックアップ_二次利用DB登録患者データ_レセプト</v>
      </c>
      <c r="S121" s="120"/>
      <c r="T121" s="125" t="str">
        <f>エンティティ一覧!$O$2</f>
        <v>milscm_2023_007</v>
      </c>
    </row>
    <row r="122" spans="2:23" ht="18.75" customHeight="1">
      <c r="C122" s="121"/>
      <c r="D122" s="122"/>
      <c r="E122" s="124"/>
      <c r="F122" s="37"/>
      <c r="G122" s="38"/>
      <c r="H122" s="37"/>
      <c r="I122" s="37"/>
      <c r="J122" s="37"/>
      <c r="K122" s="37"/>
      <c r="L122" s="37"/>
      <c r="M122" s="37"/>
      <c r="N122" s="37"/>
      <c r="O122" s="37"/>
      <c r="P122" s="37"/>
      <c r="Q122" s="37"/>
      <c r="R122" s="121"/>
      <c r="S122" s="122"/>
      <c r="T122" s="126"/>
    </row>
    <row r="123" spans="2:23" ht="18.75" customHeight="1">
      <c r="F123" s="39"/>
      <c r="G123" s="40"/>
    </row>
    <row r="124" spans="2:23" ht="18.75" customHeight="1">
      <c r="C124" s="119" t="s">
        <v>3188</v>
      </c>
      <c r="D124" s="120"/>
      <c r="E124" s="125" t="str">
        <f>エンティティ一覧!$O$2</f>
        <v>milscm_2023_007</v>
      </c>
      <c r="G124" s="41"/>
    </row>
    <row r="125" spans="2:23" ht="18.75" customHeight="1">
      <c r="C125" s="121"/>
      <c r="D125" s="122"/>
      <c r="E125" s="126"/>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27" t="str">
        <f>R133&amp;"登録"</f>
        <v>バックアップ_二次利用DB登録患者データ_MML登録</v>
      </c>
      <c r="D130" s="128"/>
      <c r="E130" s="128"/>
      <c r="F130" s="128"/>
      <c r="G130" s="128"/>
      <c r="H130" s="128"/>
      <c r="I130" s="128"/>
      <c r="J130" s="128"/>
      <c r="K130" s="128"/>
      <c r="L130" s="128"/>
      <c r="M130" s="128"/>
      <c r="N130" s="128"/>
      <c r="O130" s="128"/>
      <c r="P130" s="128"/>
      <c r="Q130" s="128"/>
      <c r="R130" s="128"/>
      <c r="S130" s="128"/>
      <c r="T130" s="128"/>
      <c r="U130" s="129"/>
      <c r="W130" s="35" t="str">
        <f>"-- "&amp;C130</f>
        <v>-- バックアップ_二次利用DB登録患者データ_MML登録</v>
      </c>
    </row>
    <row r="131" spans="2:23" ht="18.75" customHeight="1">
      <c r="B131" s="43" t="s">
        <v>159</v>
      </c>
      <c r="C131" s="116"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17"/>
      <c r="E131" s="117"/>
      <c r="F131" s="117"/>
      <c r="G131" s="117"/>
      <c r="H131" s="117"/>
      <c r="I131" s="117"/>
      <c r="J131" s="117"/>
      <c r="K131" s="117"/>
      <c r="L131" s="117"/>
      <c r="M131" s="117"/>
      <c r="N131" s="117"/>
      <c r="O131" s="117"/>
      <c r="P131" s="117"/>
      <c r="Q131" s="117"/>
      <c r="R131" s="117"/>
      <c r="S131" s="117"/>
      <c r="T131" s="117"/>
      <c r="U131" s="118"/>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19" t="s">
        <v>3504</v>
      </c>
      <c r="D133" s="120"/>
      <c r="E133" s="123" t="s">
        <v>162</v>
      </c>
      <c r="H133" s="36"/>
      <c r="I133" s="36"/>
      <c r="J133" s="36"/>
      <c r="K133" s="36"/>
      <c r="L133" s="36"/>
      <c r="M133" s="36"/>
      <c r="N133" s="36"/>
      <c r="O133" s="36"/>
      <c r="P133" s="36"/>
      <c r="Q133" s="36"/>
      <c r="R133" s="119" t="str">
        <f>"バックアップ_"&amp;SUBSTITUTE(C133,"_結合","")</f>
        <v>バックアップ_二次利用DB登録患者データ_MML</v>
      </c>
      <c r="S133" s="120"/>
      <c r="T133" s="125" t="str">
        <f>エンティティ一覧!$O$2</f>
        <v>milscm_2023_007</v>
      </c>
    </row>
    <row r="134" spans="2:23" ht="18.75" customHeight="1">
      <c r="C134" s="121"/>
      <c r="D134" s="122"/>
      <c r="E134" s="124"/>
      <c r="F134" s="37"/>
      <c r="G134" s="38"/>
      <c r="H134" s="37"/>
      <c r="I134" s="37"/>
      <c r="J134" s="37"/>
      <c r="K134" s="37"/>
      <c r="L134" s="37"/>
      <c r="M134" s="37"/>
      <c r="N134" s="37"/>
      <c r="O134" s="37"/>
      <c r="P134" s="37"/>
      <c r="Q134" s="37"/>
      <c r="R134" s="121"/>
      <c r="S134" s="122"/>
      <c r="T134" s="126"/>
    </row>
    <row r="135" spans="2:23" ht="18.75" customHeight="1">
      <c r="F135" s="39"/>
      <c r="G135" s="40"/>
    </row>
    <row r="136" spans="2:23" ht="18.75" customHeight="1">
      <c r="C136" s="119" t="s">
        <v>3188</v>
      </c>
      <c r="D136" s="120"/>
      <c r="E136" s="125" t="str">
        <f>エンティティ一覧!$O$2</f>
        <v>milscm_2023_007</v>
      </c>
      <c r="G136" s="41"/>
    </row>
    <row r="137" spans="2:23" ht="18.75" customHeight="1">
      <c r="C137" s="121"/>
      <c r="D137" s="122"/>
      <c r="E137" s="126"/>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27" t="str">
        <f>R145&amp;"登録"</f>
        <v>バックアップ_二次利用DB登録患者紐付けデータ登録</v>
      </c>
      <c r="D142" s="128"/>
      <c r="E142" s="128"/>
      <c r="F142" s="128"/>
      <c r="G142" s="128"/>
      <c r="H142" s="128"/>
      <c r="I142" s="128"/>
      <c r="J142" s="128"/>
      <c r="K142" s="128"/>
      <c r="L142" s="128"/>
      <c r="M142" s="128"/>
      <c r="N142" s="128"/>
      <c r="O142" s="128"/>
      <c r="P142" s="128"/>
      <c r="Q142" s="128"/>
      <c r="R142" s="128"/>
      <c r="S142" s="128"/>
      <c r="T142" s="128"/>
      <c r="U142" s="129"/>
      <c r="W142" s="35" t="str">
        <f>"-- "&amp;C142</f>
        <v>-- バックアップ_二次利用DB登録患者紐付けデータ登録</v>
      </c>
    </row>
    <row r="143" spans="2:23" ht="18.75" customHeight="1">
      <c r="B143" s="43" t="s">
        <v>159</v>
      </c>
      <c r="C143" s="116"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17"/>
      <c r="E143" s="117"/>
      <c r="F143" s="117"/>
      <c r="G143" s="117"/>
      <c r="H143" s="117"/>
      <c r="I143" s="117"/>
      <c r="J143" s="117"/>
      <c r="K143" s="117"/>
      <c r="L143" s="117"/>
      <c r="M143" s="117"/>
      <c r="N143" s="117"/>
      <c r="O143" s="117"/>
      <c r="P143" s="117"/>
      <c r="Q143" s="117"/>
      <c r="R143" s="117"/>
      <c r="S143" s="117"/>
      <c r="T143" s="117"/>
      <c r="U143" s="118"/>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19" t="s">
        <v>3506</v>
      </c>
      <c r="D145" s="120"/>
      <c r="E145" s="123" t="s">
        <v>162</v>
      </c>
      <c r="H145" s="36"/>
      <c r="I145" s="36"/>
      <c r="J145" s="36"/>
      <c r="K145" s="36"/>
      <c r="L145" s="36"/>
      <c r="M145" s="36"/>
      <c r="N145" s="36"/>
      <c r="O145" s="36"/>
      <c r="P145" s="36"/>
      <c r="Q145" s="36"/>
      <c r="R145" s="119" t="str">
        <f>"バックアップ_"&amp;SUBSTITUTE(C145,"_結合","")</f>
        <v>バックアップ_二次利用DB登録患者紐付けデータ</v>
      </c>
      <c r="S145" s="120"/>
      <c r="T145" s="125" t="str">
        <f>エンティティ一覧!$O$2</f>
        <v>milscm_2023_007</v>
      </c>
    </row>
    <row r="146" spans="2:23" ht="18.75" customHeight="1">
      <c r="C146" s="121"/>
      <c r="D146" s="122"/>
      <c r="E146" s="124"/>
      <c r="F146" s="37"/>
      <c r="G146" s="38"/>
      <c r="H146" s="37"/>
      <c r="I146" s="37"/>
      <c r="J146" s="37"/>
      <c r="K146" s="37"/>
      <c r="L146" s="37"/>
      <c r="M146" s="37"/>
      <c r="N146" s="37"/>
      <c r="O146" s="37"/>
      <c r="P146" s="37"/>
      <c r="Q146" s="37"/>
      <c r="R146" s="121"/>
      <c r="S146" s="122"/>
      <c r="T146" s="126"/>
    </row>
    <row r="147" spans="2:23" ht="18.75" customHeight="1">
      <c r="F147" s="39"/>
      <c r="G147" s="40"/>
    </row>
    <row r="148" spans="2:23" ht="18.75" customHeight="1">
      <c r="C148" s="119" t="s">
        <v>3188</v>
      </c>
      <c r="D148" s="120"/>
      <c r="E148" s="125" t="str">
        <f>エンティティ一覧!$O$2</f>
        <v>milscm_2023_007</v>
      </c>
      <c r="G148" s="41"/>
    </row>
    <row r="149" spans="2:23" ht="18.75" customHeight="1">
      <c r="C149" s="121"/>
      <c r="D149" s="122"/>
      <c r="E149" s="126"/>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27" t="str">
        <f>R157&amp;"登録"</f>
        <v>バックアップ_エラー患者データ登録</v>
      </c>
      <c r="D154" s="128"/>
      <c r="E154" s="128"/>
      <c r="F154" s="128"/>
      <c r="G154" s="128"/>
      <c r="H154" s="128"/>
      <c r="I154" s="128"/>
      <c r="J154" s="128"/>
      <c r="K154" s="128"/>
      <c r="L154" s="128"/>
      <c r="M154" s="128"/>
      <c r="N154" s="128"/>
      <c r="O154" s="128"/>
      <c r="P154" s="128"/>
      <c r="Q154" s="128"/>
      <c r="R154" s="128"/>
      <c r="S154" s="128"/>
      <c r="T154" s="128"/>
      <c r="U154" s="129"/>
      <c r="W154" s="35" t="str">
        <f>"-- "&amp;C154</f>
        <v>-- バックアップ_エラー患者データ登録</v>
      </c>
    </row>
    <row r="155" spans="2:23" ht="18.75" customHeight="1">
      <c r="B155" s="43" t="s">
        <v>159</v>
      </c>
      <c r="C155" s="116"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17"/>
      <c r="E155" s="117"/>
      <c r="F155" s="117"/>
      <c r="G155" s="117"/>
      <c r="H155" s="117"/>
      <c r="I155" s="117"/>
      <c r="J155" s="117"/>
      <c r="K155" s="117"/>
      <c r="L155" s="117"/>
      <c r="M155" s="117"/>
      <c r="N155" s="117"/>
      <c r="O155" s="117"/>
      <c r="P155" s="117"/>
      <c r="Q155" s="117"/>
      <c r="R155" s="117"/>
      <c r="S155" s="117"/>
      <c r="T155" s="117"/>
      <c r="U155" s="118"/>
      <c r="W155" s="35" t="str">
        <f>"-- "&amp;C155</f>
        <v>-- エラー患者データテーブルから組入れ条件の第一条件で絞り込んだ結果をバックアップ_エラー患者データテーブルに格納する。</v>
      </c>
    </row>
    <row r="157" spans="2:23" ht="18.75" customHeight="1">
      <c r="C157" s="119" t="s">
        <v>3508</v>
      </c>
      <c r="D157" s="120"/>
      <c r="E157" s="123" t="s">
        <v>162</v>
      </c>
      <c r="H157" s="36"/>
      <c r="I157" s="36"/>
      <c r="J157" s="36"/>
      <c r="K157" s="36"/>
      <c r="L157" s="36"/>
      <c r="M157" s="36"/>
      <c r="N157" s="36"/>
      <c r="O157" s="36"/>
      <c r="P157" s="36"/>
      <c r="Q157" s="36"/>
      <c r="R157" s="119" t="str">
        <f>"バックアップ_"&amp;SUBSTITUTE(C157,"_結合","")</f>
        <v>バックアップ_エラー患者データ</v>
      </c>
      <c r="S157" s="120"/>
      <c r="T157" s="125" t="str">
        <f>エンティティ一覧!$O$2</f>
        <v>milscm_2023_007</v>
      </c>
    </row>
    <row r="158" spans="2:23" ht="18.75" customHeight="1">
      <c r="C158" s="121"/>
      <c r="D158" s="122"/>
      <c r="E158" s="124"/>
      <c r="F158" s="37"/>
      <c r="G158" s="38"/>
      <c r="H158" s="37"/>
      <c r="I158" s="37"/>
      <c r="J158" s="37"/>
      <c r="K158" s="37"/>
      <c r="L158" s="37"/>
      <c r="M158" s="37"/>
      <c r="N158" s="37"/>
      <c r="O158" s="37"/>
      <c r="P158" s="37"/>
      <c r="Q158" s="37"/>
      <c r="R158" s="121"/>
      <c r="S158" s="122"/>
      <c r="T158" s="126"/>
    </row>
    <row r="159" spans="2:23" ht="18.75" customHeight="1">
      <c r="F159" s="39"/>
      <c r="G159" s="40"/>
    </row>
    <row r="160" spans="2:23" ht="18.75" customHeight="1">
      <c r="C160" s="119" t="s">
        <v>3188</v>
      </c>
      <c r="D160" s="120"/>
      <c r="E160" s="125" t="str">
        <f>エンティティ一覧!$O$2</f>
        <v>milscm_2023_007</v>
      </c>
      <c r="G160" s="41"/>
    </row>
    <row r="161" spans="2:23" ht="18.75" customHeight="1">
      <c r="C161" s="121"/>
      <c r="D161" s="122"/>
      <c r="E161" s="126"/>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27" t="str">
        <f>R169&amp;"登録"</f>
        <v>バックアップ_患者基本データ登録</v>
      </c>
      <c r="D166" s="128"/>
      <c r="E166" s="128"/>
      <c r="F166" s="128"/>
      <c r="G166" s="128"/>
      <c r="H166" s="128"/>
      <c r="I166" s="128"/>
      <c r="J166" s="128"/>
      <c r="K166" s="128"/>
      <c r="L166" s="128"/>
      <c r="M166" s="128"/>
      <c r="N166" s="128"/>
      <c r="O166" s="128"/>
      <c r="P166" s="128"/>
      <c r="Q166" s="128"/>
      <c r="R166" s="128"/>
      <c r="S166" s="128"/>
      <c r="T166" s="128"/>
      <c r="U166" s="129"/>
      <c r="W166" s="35" t="str">
        <f>"-- "&amp;C166</f>
        <v>-- バックアップ_患者基本データ登録</v>
      </c>
    </row>
    <row r="167" spans="2:23" ht="18.75" customHeight="1">
      <c r="B167" s="43" t="s">
        <v>159</v>
      </c>
      <c r="C167" s="116"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17"/>
      <c r="E167" s="117"/>
      <c r="F167" s="117"/>
      <c r="G167" s="117"/>
      <c r="H167" s="117"/>
      <c r="I167" s="117"/>
      <c r="J167" s="117"/>
      <c r="K167" s="117"/>
      <c r="L167" s="117"/>
      <c r="M167" s="117"/>
      <c r="N167" s="117"/>
      <c r="O167" s="117"/>
      <c r="P167" s="117"/>
      <c r="Q167" s="117"/>
      <c r="R167" s="117"/>
      <c r="S167" s="117"/>
      <c r="T167" s="117"/>
      <c r="U167" s="118"/>
      <c r="W167" s="35" t="str">
        <f>"-- "&amp;C167</f>
        <v>-- 患者基本データテーブルから組入れ条件の第一条件で絞り込んだ結果をバックアップ_患者基本データテーブルに格納する。</v>
      </c>
    </row>
    <row r="169" spans="2:23" ht="18.75" customHeight="1">
      <c r="C169" s="119" t="s">
        <v>3510</v>
      </c>
      <c r="D169" s="120"/>
      <c r="E169" s="123" t="s">
        <v>162</v>
      </c>
      <c r="H169" s="36"/>
      <c r="I169" s="36"/>
      <c r="J169" s="36"/>
      <c r="K169" s="36"/>
      <c r="L169" s="36"/>
      <c r="M169" s="36"/>
      <c r="N169" s="36"/>
      <c r="O169" s="36"/>
      <c r="P169" s="36"/>
      <c r="Q169" s="36"/>
      <c r="R169" s="119" t="str">
        <f>"バックアップ_"&amp;SUBSTITUTE(C169,"_結合","")</f>
        <v>バックアップ_患者基本データ</v>
      </c>
      <c r="S169" s="120"/>
      <c r="T169" s="125" t="str">
        <f>エンティティ一覧!$O$2</f>
        <v>milscm_2023_007</v>
      </c>
    </row>
    <row r="170" spans="2:23" ht="18.75" customHeight="1">
      <c r="C170" s="121"/>
      <c r="D170" s="122"/>
      <c r="E170" s="124"/>
      <c r="F170" s="37"/>
      <c r="G170" s="38"/>
      <c r="H170" s="37"/>
      <c r="I170" s="37"/>
      <c r="J170" s="37"/>
      <c r="K170" s="37"/>
      <c r="L170" s="37"/>
      <c r="M170" s="37"/>
      <c r="N170" s="37"/>
      <c r="O170" s="37"/>
      <c r="P170" s="37"/>
      <c r="Q170" s="37"/>
      <c r="R170" s="121"/>
      <c r="S170" s="122"/>
      <c r="T170" s="126"/>
    </row>
    <row r="171" spans="2:23" ht="18.75" customHeight="1">
      <c r="F171" s="39"/>
      <c r="G171" s="40"/>
    </row>
    <row r="172" spans="2:23" ht="18.75" customHeight="1">
      <c r="C172" s="119" t="s">
        <v>3188</v>
      </c>
      <c r="D172" s="120"/>
      <c r="E172" s="125" t="str">
        <f>エンティティ一覧!$O$2</f>
        <v>milscm_2023_007</v>
      </c>
      <c r="G172" s="41"/>
    </row>
    <row r="173" spans="2:23" ht="18.75" customHeight="1">
      <c r="C173" s="121"/>
      <c r="D173" s="122"/>
      <c r="E173" s="126"/>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27" t="str">
        <f>R181&amp;"登録"</f>
        <v>バックアップ_施設属性マスタ取込用登録</v>
      </c>
      <c r="D178" s="128"/>
      <c r="E178" s="128"/>
      <c r="F178" s="128"/>
      <c r="G178" s="128"/>
      <c r="H178" s="128"/>
      <c r="I178" s="128"/>
      <c r="J178" s="128"/>
      <c r="K178" s="128"/>
      <c r="L178" s="128"/>
      <c r="M178" s="128"/>
      <c r="N178" s="128"/>
      <c r="O178" s="128"/>
      <c r="P178" s="128"/>
      <c r="Q178" s="128"/>
      <c r="R178" s="128"/>
      <c r="S178" s="128"/>
      <c r="T178" s="128"/>
      <c r="U178" s="129"/>
      <c r="W178" s="35" t="str">
        <f>"-- "&amp;C178</f>
        <v>-- バックアップ_施設属性マスタ取込用登録</v>
      </c>
    </row>
    <row r="179" spans="2:23" ht="18.75" customHeight="1">
      <c r="B179" s="43" t="s">
        <v>159</v>
      </c>
      <c r="C179" s="116" t="str">
        <f>C181&amp;"テーブルのレコードを"&amp;R181&amp;"テーブルに格納する。"</f>
        <v>施設属性マスタ取込用テーブルのレコードをバックアップ_施設属性マスタ取込用テーブルに格納する。</v>
      </c>
      <c r="D179" s="117"/>
      <c r="E179" s="117"/>
      <c r="F179" s="117"/>
      <c r="G179" s="117"/>
      <c r="H179" s="117"/>
      <c r="I179" s="117"/>
      <c r="J179" s="117"/>
      <c r="K179" s="117"/>
      <c r="L179" s="117"/>
      <c r="M179" s="117"/>
      <c r="N179" s="117"/>
      <c r="O179" s="117"/>
      <c r="P179" s="117"/>
      <c r="Q179" s="117"/>
      <c r="R179" s="117"/>
      <c r="S179" s="117"/>
      <c r="T179" s="117"/>
      <c r="U179" s="118"/>
      <c r="W179" s="35" t="str">
        <f>"-- "&amp;C179</f>
        <v>-- 施設属性マスタ取込用テーブルのレコードをバックアップ_施設属性マスタ取込用テーブルに格納する。</v>
      </c>
    </row>
    <row r="181" spans="2:23" ht="18.75" customHeight="1">
      <c r="C181" s="119" t="s">
        <v>3512</v>
      </c>
      <c r="D181" s="120"/>
      <c r="E181" s="123" t="s">
        <v>162</v>
      </c>
      <c r="F181" s="36"/>
      <c r="G181" s="36"/>
      <c r="H181" s="36"/>
      <c r="I181" s="36"/>
      <c r="J181" s="36"/>
      <c r="K181" s="36"/>
      <c r="L181" s="36"/>
      <c r="M181" s="36"/>
      <c r="N181" s="36"/>
      <c r="O181" s="36"/>
      <c r="P181" s="36"/>
      <c r="Q181" s="36"/>
      <c r="R181" s="119" t="str">
        <f>"バックアップ_"&amp;SUBSTITUTE(C181,"_結合","")</f>
        <v>バックアップ_施設属性マスタ取込用</v>
      </c>
      <c r="S181" s="120"/>
      <c r="T181" s="125" t="str">
        <f>エンティティ一覧!$O$2</f>
        <v>milscm_2023_007</v>
      </c>
    </row>
    <row r="182" spans="2:23" ht="18.75" customHeight="1">
      <c r="C182" s="121"/>
      <c r="D182" s="122"/>
      <c r="E182" s="124"/>
      <c r="F182" s="37"/>
      <c r="G182" s="37"/>
      <c r="H182" s="37"/>
      <c r="I182" s="37"/>
      <c r="J182" s="37"/>
      <c r="K182" s="37"/>
      <c r="L182" s="37"/>
      <c r="M182" s="37"/>
      <c r="N182" s="37"/>
      <c r="O182" s="37"/>
      <c r="P182" s="37"/>
      <c r="Q182" s="37"/>
      <c r="R182" s="121"/>
      <c r="S182" s="122"/>
      <c r="T182" s="126"/>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27" t="str">
        <f>R190&amp;"登録"</f>
        <v>バックアップ_二次医療圏マスタ取込用登録</v>
      </c>
      <c r="D187" s="128"/>
      <c r="E187" s="128"/>
      <c r="F187" s="128"/>
      <c r="G187" s="128"/>
      <c r="H187" s="128"/>
      <c r="I187" s="128"/>
      <c r="J187" s="128"/>
      <c r="K187" s="128"/>
      <c r="L187" s="128"/>
      <c r="M187" s="128"/>
      <c r="N187" s="128"/>
      <c r="O187" s="128"/>
      <c r="P187" s="128"/>
      <c r="Q187" s="128"/>
      <c r="R187" s="128"/>
      <c r="S187" s="128"/>
      <c r="T187" s="128"/>
      <c r="U187" s="129"/>
      <c r="W187" s="35" t="str">
        <f>"-- "&amp;C187</f>
        <v>-- バックアップ_二次医療圏マスタ取込用登録</v>
      </c>
    </row>
    <row r="188" spans="2:23" ht="18.75" customHeight="1">
      <c r="B188" s="43" t="s">
        <v>159</v>
      </c>
      <c r="C188" s="116" t="str">
        <f>C190&amp;"テーブルのレコードを"&amp;R190&amp;"テーブルに格納する。"</f>
        <v>二次医療圏マスタ取込用テーブルのレコードをバックアップ_二次医療圏マスタ取込用テーブルに格納する。</v>
      </c>
      <c r="D188" s="117"/>
      <c r="E188" s="117"/>
      <c r="F188" s="117"/>
      <c r="G188" s="117"/>
      <c r="H188" s="117"/>
      <c r="I188" s="117"/>
      <c r="J188" s="117"/>
      <c r="K188" s="117"/>
      <c r="L188" s="117"/>
      <c r="M188" s="117"/>
      <c r="N188" s="117"/>
      <c r="O188" s="117"/>
      <c r="P188" s="117"/>
      <c r="Q188" s="117"/>
      <c r="R188" s="117"/>
      <c r="S188" s="117"/>
      <c r="T188" s="117"/>
      <c r="U188" s="118"/>
      <c r="W188" s="35" t="str">
        <f>"-- "&amp;C188</f>
        <v>-- 二次医療圏マスタ取込用テーブルのレコードをバックアップ_二次医療圏マスタ取込用テーブルに格納する。</v>
      </c>
    </row>
    <row r="190" spans="2:23" ht="18.75" customHeight="1">
      <c r="C190" s="119" t="s">
        <v>3514</v>
      </c>
      <c r="D190" s="120"/>
      <c r="E190" s="123" t="s">
        <v>162</v>
      </c>
      <c r="F190" s="36"/>
      <c r="G190" s="36"/>
      <c r="H190" s="36"/>
      <c r="I190" s="36"/>
      <c r="J190" s="36"/>
      <c r="K190" s="36"/>
      <c r="L190" s="36"/>
      <c r="M190" s="36"/>
      <c r="N190" s="36"/>
      <c r="O190" s="36"/>
      <c r="P190" s="36"/>
      <c r="Q190" s="36"/>
      <c r="R190" s="119" t="str">
        <f>"バックアップ_"&amp;SUBSTITUTE(C190,"_結合","")</f>
        <v>バックアップ_二次医療圏マスタ取込用</v>
      </c>
      <c r="S190" s="120"/>
      <c r="T190" s="125" t="str">
        <f>エンティティ一覧!$O$2</f>
        <v>milscm_2023_007</v>
      </c>
    </row>
    <row r="191" spans="2:23" ht="18.75" customHeight="1">
      <c r="C191" s="121"/>
      <c r="D191" s="122"/>
      <c r="E191" s="124"/>
      <c r="F191" s="37"/>
      <c r="G191" s="37"/>
      <c r="H191" s="37"/>
      <c r="I191" s="37"/>
      <c r="J191" s="37"/>
      <c r="K191" s="37"/>
      <c r="L191" s="37"/>
      <c r="M191" s="37"/>
      <c r="N191" s="37"/>
      <c r="O191" s="37"/>
      <c r="P191" s="37"/>
      <c r="Q191" s="37"/>
      <c r="R191" s="121"/>
      <c r="S191" s="122"/>
      <c r="T191" s="126"/>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27" t="str">
        <f>R199&amp;"登録"</f>
        <v>バックアップ_新旧医薬品コードマスタ取込用登録</v>
      </c>
      <c r="D196" s="128"/>
      <c r="E196" s="128"/>
      <c r="F196" s="128"/>
      <c r="G196" s="128"/>
      <c r="H196" s="128"/>
      <c r="I196" s="128"/>
      <c r="J196" s="128"/>
      <c r="K196" s="128"/>
      <c r="L196" s="128"/>
      <c r="M196" s="128"/>
      <c r="N196" s="128"/>
      <c r="O196" s="128"/>
      <c r="P196" s="128"/>
      <c r="Q196" s="128"/>
      <c r="R196" s="128"/>
      <c r="S196" s="128"/>
      <c r="T196" s="128"/>
      <c r="U196" s="129"/>
      <c r="W196" s="35" t="str">
        <f>"-- "&amp;C196</f>
        <v>-- バックアップ_新旧医薬品コードマスタ取込用登録</v>
      </c>
    </row>
    <row r="197" spans="2:23" ht="18.75" customHeight="1">
      <c r="B197" s="43" t="s">
        <v>159</v>
      </c>
      <c r="C197" s="116" t="str">
        <f>C199&amp;"テーブルのレコードを"&amp;R199&amp;"テーブルに格納する。"</f>
        <v>新旧医薬品コードマスタ取込用テーブルのレコードをバックアップ_新旧医薬品コードマスタ取込用テーブルに格納する。</v>
      </c>
      <c r="D197" s="117"/>
      <c r="E197" s="117"/>
      <c r="F197" s="117"/>
      <c r="G197" s="117"/>
      <c r="H197" s="117"/>
      <c r="I197" s="117"/>
      <c r="J197" s="117"/>
      <c r="K197" s="117"/>
      <c r="L197" s="117"/>
      <c r="M197" s="117"/>
      <c r="N197" s="117"/>
      <c r="O197" s="117"/>
      <c r="P197" s="117"/>
      <c r="Q197" s="117"/>
      <c r="R197" s="117"/>
      <c r="S197" s="117"/>
      <c r="T197" s="117"/>
      <c r="U197" s="118"/>
      <c r="W197" s="35" t="str">
        <f>"-- "&amp;C197</f>
        <v>-- 新旧医薬品コードマスタ取込用テーブルのレコードをバックアップ_新旧医薬品コードマスタ取込用テーブルに格納する。</v>
      </c>
    </row>
    <row r="199" spans="2:23" ht="18.75" customHeight="1">
      <c r="C199" s="119" t="s">
        <v>3516</v>
      </c>
      <c r="D199" s="120"/>
      <c r="E199" s="123" t="s">
        <v>162</v>
      </c>
      <c r="F199" s="36"/>
      <c r="G199" s="36"/>
      <c r="H199" s="36"/>
      <c r="I199" s="36"/>
      <c r="J199" s="36"/>
      <c r="K199" s="36"/>
      <c r="L199" s="36"/>
      <c r="M199" s="36"/>
      <c r="N199" s="36"/>
      <c r="O199" s="36"/>
      <c r="P199" s="36"/>
      <c r="Q199" s="36"/>
      <c r="R199" s="119" t="str">
        <f>"バックアップ_"&amp;SUBSTITUTE(C199,"_結合","")</f>
        <v>バックアップ_新旧医薬品コードマスタ取込用</v>
      </c>
      <c r="S199" s="120"/>
      <c r="T199" s="125" t="str">
        <f>エンティティ一覧!$O$2</f>
        <v>milscm_2023_007</v>
      </c>
    </row>
    <row r="200" spans="2:23" ht="18.75" customHeight="1">
      <c r="C200" s="121"/>
      <c r="D200" s="122"/>
      <c r="E200" s="124"/>
      <c r="F200" s="37"/>
      <c r="G200" s="37"/>
      <c r="H200" s="37"/>
      <c r="I200" s="37"/>
      <c r="J200" s="37"/>
      <c r="K200" s="37"/>
      <c r="L200" s="37"/>
      <c r="M200" s="37"/>
      <c r="N200" s="37"/>
      <c r="O200" s="37"/>
      <c r="P200" s="37"/>
      <c r="Q200" s="37"/>
      <c r="R200" s="121"/>
      <c r="S200" s="122"/>
      <c r="T200" s="126"/>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27" t="str">
        <f>R208&amp;"登録"</f>
        <v>バックアップ_DPC6ICD10対応表マスタ取込用登録</v>
      </c>
      <c r="D205" s="128"/>
      <c r="E205" s="128"/>
      <c r="F205" s="128"/>
      <c r="G205" s="128"/>
      <c r="H205" s="128"/>
      <c r="I205" s="128"/>
      <c r="J205" s="128"/>
      <c r="K205" s="128"/>
      <c r="L205" s="128"/>
      <c r="M205" s="128"/>
      <c r="N205" s="128"/>
      <c r="O205" s="128"/>
      <c r="P205" s="128"/>
      <c r="Q205" s="128"/>
      <c r="R205" s="128"/>
      <c r="S205" s="128"/>
      <c r="T205" s="128"/>
      <c r="U205" s="129"/>
      <c r="W205" s="35" t="str">
        <f>"-- "&amp;C205</f>
        <v>-- バックアップ_DPC6ICD10対応表マスタ取込用登録</v>
      </c>
    </row>
    <row r="206" spans="2:23" ht="18.75" customHeight="1">
      <c r="B206" s="43" t="s">
        <v>159</v>
      </c>
      <c r="C206" s="116" t="str">
        <f>C208&amp;"テーブルのレコードを"&amp;R208&amp;"テーブルに格納する。"</f>
        <v>DPC6ICD10対応表マスタ取込用テーブルのレコードをバックアップ_DPC6ICD10対応表マスタ取込用テーブルに格納する。</v>
      </c>
      <c r="D206" s="117"/>
      <c r="E206" s="117"/>
      <c r="F206" s="117"/>
      <c r="G206" s="117"/>
      <c r="H206" s="117"/>
      <c r="I206" s="117"/>
      <c r="J206" s="117"/>
      <c r="K206" s="117"/>
      <c r="L206" s="117"/>
      <c r="M206" s="117"/>
      <c r="N206" s="117"/>
      <c r="O206" s="117"/>
      <c r="P206" s="117"/>
      <c r="Q206" s="117"/>
      <c r="R206" s="117"/>
      <c r="S206" s="117"/>
      <c r="T206" s="117"/>
      <c r="U206" s="118"/>
      <c r="W206" s="35" t="str">
        <f>"-- "&amp;C206</f>
        <v>-- DPC6ICD10対応表マスタ取込用テーブルのレコードをバックアップ_DPC6ICD10対応表マスタ取込用テーブルに格納する。</v>
      </c>
    </row>
    <row r="208" spans="2:23" ht="18.75" customHeight="1">
      <c r="C208" s="119" t="s">
        <v>3518</v>
      </c>
      <c r="D208" s="120"/>
      <c r="E208" s="123" t="s">
        <v>162</v>
      </c>
      <c r="F208" s="36"/>
      <c r="G208" s="36"/>
      <c r="H208" s="36"/>
      <c r="I208" s="36"/>
      <c r="J208" s="36"/>
      <c r="K208" s="36"/>
      <c r="L208" s="36"/>
      <c r="M208" s="36"/>
      <c r="N208" s="36"/>
      <c r="O208" s="36"/>
      <c r="P208" s="36"/>
      <c r="Q208" s="36"/>
      <c r="R208" s="119" t="str">
        <f>"バックアップ_"&amp;SUBSTITUTE(C208,"_結合","")</f>
        <v>バックアップ_DPC6ICD10対応表マスタ取込用</v>
      </c>
      <c r="S208" s="120"/>
      <c r="T208" s="125" t="str">
        <f>エンティティ一覧!$O$2</f>
        <v>milscm_2023_007</v>
      </c>
    </row>
    <row r="209" spans="2:23" ht="18.75" customHeight="1">
      <c r="C209" s="121"/>
      <c r="D209" s="122"/>
      <c r="E209" s="124"/>
      <c r="F209" s="37"/>
      <c r="G209" s="37"/>
      <c r="H209" s="37"/>
      <c r="I209" s="37"/>
      <c r="J209" s="37"/>
      <c r="K209" s="37"/>
      <c r="L209" s="37"/>
      <c r="M209" s="37"/>
      <c r="N209" s="37"/>
      <c r="O209" s="37"/>
      <c r="P209" s="37"/>
      <c r="Q209" s="37"/>
      <c r="R209" s="121"/>
      <c r="S209" s="122"/>
      <c r="T209" s="126"/>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27" t="str">
        <f>R217&amp;"登録"</f>
        <v>バックアップ_修飾語マスタ取込用登録</v>
      </c>
      <c r="D214" s="128"/>
      <c r="E214" s="128"/>
      <c r="F214" s="128"/>
      <c r="G214" s="128"/>
      <c r="H214" s="128"/>
      <c r="I214" s="128"/>
      <c r="J214" s="128"/>
      <c r="K214" s="128"/>
      <c r="L214" s="128"/>
      <c r="M214" s="128"/>
      <c r="N214" s="128"/>
      <c r="O214" s="128"/>
      <c r="P214" s="128"/>
      <c r="Q214" s="128"/>
      <c r="R214" s="128"/>
      <c r="S214" s="128"/>
      <c r="T214" s="128"/>
      <c r="U214" s="129"/>
      <c r="W214" s="35" t="str">
        <f>"-- "&amp;C214</f>
        <v>-- バックアップ_修飾語マスタ取込用登録</v>
      </c>
    </row>
    <row r="215" spans="2:23" ht="18.75" customHeight="1">
      <c r="B215" s="43" t="s">
        <v>159</v>
      </c>
      <c r="C215" s="116" t="str">
        <f>C217&amp;"テーブルのレコードを"&amp;R217&amp;"テーブルに格納する。"</f>
        <v>修飾語マスタ取込用テーブルのレコードをバックアップ_修飾語マスタ取込用テーブルに格納する。</v>
      </c>
      <c r="D215" s="117"/>
      <c r="E215" s="117"/>
      <c r="F215" s="117"/>
      <c r="G215" s="117"/>
      <c r="H215" s="117"/>
      <c r="I215" s="117"/>
      <c r="J215" s="117"/>
      <c r="K215" s="117"/>
      <c r="L215" s="117"/>
      <c r="M215" s="117"/>
      <c r="N215" s="117"/>
      <c r="O215" s="117"/>
      <c r="P215" s="117"/>
      <c r="Q215" s="117"/>
      <c r="R215" s="117"/>
      <c r="S215" s="117"/>
      <c r="T215" s="117"/>
      <c r="U215" s="118"/>
      <c r="W215" s="35" t="str">
        <f>"-- "&amp;C215</f>
        <v>-- 修飾語マスタ取込用テーブルのレコードをバックアップ_修飾語マスタ取込用テーブルに格納する。</v>
      </c>
    </row>
    <row r="217" spans="2:23" ht="18.75" customHeight="1">
      <c r="C217" s="119" t="s">
        <v>3520</v>
      </c>
      <c r="D217" s="120"/>
      <c r="E217" s="123" t="s">
        <v>162</v>
      </c>
      <c r="F217" s="36"/>
      <c r="G217" s="36"/>
      <c r="H217" s="36"/>
      <c r="I217" s="36"/>
      <c r="J217" s="36"/>
      <c r="K217" s="36"/>
      <c r="L217" s="36"/>
      <c r="M217" s="36"/>
      <c r="N217" s="36"/>
      <c r="O217" s="36"/>
      <c r="P217" s="36"/>
      <c r="Q217" s="36"/>
      <c r="R217" s="119" t="str">
        <f>"バックアップ_"&amp;SUBSTITUTE(C217,"_結合","")</f>
        <v>バックアップ_修飾語マスタ取込用</v>
      </c>
      <c r="S217" s="120"/>
      <c r="T217" s="125" t="str">
        <f>エンティティ一覧!$O$2</f>
        <v>milscm_2023_007</v>
      </c>
    </row>
    <row r="218" spans="2:23" ht="18.75" customHeight="1">
      <c r="C218" s="121"/>
      <c r="D218" s="122"/>
      <c r="E218" s="124"/>
      <c r="F218" s="37"/>
      <c r="G218" s="37"/>
      <c r="H218" s="37"/>
      <c r="I218" s="37"/>
      <c r="J218" s="37"/>
      <c r="K218" s="37"/>
      <c r="L218" s="37"/>
      <c r="M218" s="37"/>
      <c r="N218" s="37"/>
      <c r="O218" s="37"/>
      <c r="P218" s="37"/>
      <c r="Q218" s="37"/>
      <c r="R218" s="121"/>
      <c r="S218" s="122"/>
      <c r="T218" s="126"/>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27" t="str">
        <f>R226&amp;"登録"</f>
        <v>バックアップ_コメントマスタ取込用登録</v>
      </c>
      <c r="D223" s="128"/>
      <c r="E223" s="128"/>
      <c r="F223" s="128"/>
      <c r="G223" s="128"/>
      <c r="H223" s="128"/>
      <c r="I223" s="128"/>
      <c r="J223" s="128"/>
      <c r="K223" s="128"/>
      <c r="L223" s="128"/>
      <c r="M223" s="128"/>
      <c r="N223" s="128"/>
      <c r="O223" s="128"/>
      <c r="P223" s="128"/>
      <c r="Q223" s="128"/>
      <c r="R223" s="128"/>
      <c r="S223" s="128"/>
      <c r="T223" s="128"/>
      <c r="U223" s="129"/>
      <c r="W223" s="35" t="str">
        <f>"-- "&amp;C223</f>
        <v>-- バックアップ_コメントマスタ取込用登録</v>
      </c>
    </row>
    <row r="224" spans="2:23" ht="18.75" customHeight="1">
      <c r="B224" s="43" t="s">
        <v>159</v>
      </c>
      <c r="C224" s="116" t="str">
        <f>C226&amp;"テーブルのレコードを"&amp;R226&amp;"テーブルに格納する。"</f>
        <v>コメントマスタ取込用テーブルのレコードをバックアップ_コメントマスタ取込用テーブルに格納する。</v>
      </c>
      <c r="D224" s="117"/>
      <c r="E224" s="117"/>
      <c r="F224" s="117"/>
      <c r="G224" s="117"/>
      <c r="H224" s="117"/>
      <c r="I224" s="117"/>
      <c r="J224" s="117"/>
      <c r="K224" s="117"/>
      <c r="L224" s="117"/>
      <c r="M224" s="117"/>
      <c r="N224" s="117"/>
      <c r="O224" s="117"/>
      <c r="P224" s="117"/>
      <c r="Q224" s="117"/>
      <c r="R224" s="117"/>
      <c r="S224" s="117"/>
      <c r="T224" s="117"/>
      <c r="U224" s="118"/>
      <c r="W224" s="35" t="str">
        <f>"-- "&amp;C224</f>
        <v>-- コメントマスタ取込用テーブルのレコードをバックアップ_コメントマスタ取込用テーブルに格納する。</v>
      </c>
    </row>
    <row r="226" spans="2:23" ht="18.75" customHeight="1">
      <c r="C226" s="119" t="s">
        <v>3522</v>
      </c>
      <c r="D226" s="120"/>
      <c r="E226" s="123" t="s">
        <v>162</v>
      </c>
      <c r="F226" s="36"/>
      <c r="G226" s="36"/>
      <c r="H226" s="36"/>
      <c r="I226" s="36"/>
      <c r="J226" s="36"/>
      <c r="K226" s="36"/>
      <c r="L226" s="36"/>
      <c r="M226" s="36"/>
      <c r="N226" s="36"/>
      <c r="O226" s="36"/>
      <c r="P226" s="36"/>
      <c r="Q226" s="36"/>
      <c r="R226" s="119" t="str">
        <f>"バックアップ_"&amp;SUBSTITUTE(C226,"_結合","")</f>
        <v>バックアップ_コメントマスタ取込用</v>
      </c>
      <c r="S226" s="120"/>
      <c r="T226" s="125" t="str">
        <f>エンティティ一覧!$O$2</f>
        <v>milscm_2023_007</v>
      </c>
    </row>
    <row r="227" spans="2:23" ht="18.75" customHeight="1">
      <c r="C227" s="121"/>
      <c r="D227" s="122"/>
      <c r="E227" s="124"/>
      <c r="F227" s="37"/>
      <c r="G227" s="37"/>
      <c r="H227" s="37"/>
      <c r="I227" s="37"/>
      <c r="J227" s="37"/>
      <c r="K227" s="37"/>
      <c r="L227" s="37"/>
      <c r="M227" s="37"/>
      <c r="N227" s="37"/>
      <c r="O227" s="37"/>
      <c r="P227" s="37"/>
      <c r="Q227" s="37"/>
      <c r="R227" s="121"/>
      <c r="S227" s="122"/>
      <c r="T227" s="126"/>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27" t="str">
        <f>R235&amp;"登録"</f>
        <v>バックアップ_成分量マスタ取込用登録</v>
      </c>
      <c r="D232" s="128"/>
      <c r="E232" s="128"/>
      <c r="F232" s="128"/>
      <c r="G232" s="128"/>
      <c r="H232" s="128"/>
      <c r="I232" s="128"/>
      <c r="J232" s="128"/>
      <c r="K232" s="128"/>
      <c r="L232" s="128"/>
      <c r="M232" s="128"/>
      <c r="N232" s="128"/>
      <c r="O232" s="128"/>
      <c r="P232" s="128"/>
      <c r="Q232" s="128"/>
      <c r="R232" s="128"/>
      <c r="S232" s="128"/>
      <c r="T232" s="128"/>
      <c r="U232" s="129"/>
      <c r="W232" s="35" t="str">
        <f>"-- "&amp;C232</f>
        <v>-- バックアップ_成分量マスタ取込用登録</v>
      </c>
    </row>
    <row r="233" spans="2:23" ht="18.75" customHeight="1">
      <c r="B233" s="43" t="s">
        <v>159</v>
      </c>
      <c r="C233" s="116" t="str">
        <f>C235&amp;"テーブルのレコードを"&amp;R235&amp;"テーブルに格納する。"</f>
        <v>成分量マスタ取込用テーブルのレコードをバックアップ_成分量マスタ取込用テーブルに格納する。</v>
      </c>
      <c r="D233" s="117"/>
      <c r="E233" s="117"/>
      <c r="F233" s="117"/>
      <c r="G233" s="117"/>
      <c r="H233" s="117"/>
      <c r="I233" s="117"/>
      <c r="J233" s="117"/>
      <c r="K233" s="117"/>
      <c r="L233" s="117"/>
      <c r="M233" s="117"/>
      <c r="N233" s="117"/>
      <c r="O233" s="117"/>
      <c r="P233" s="117"/>
      <c r="Q233" s="117"/>
      <c r="R233" s="117"/>
      <c r="S233" s="117"/>
      <c r="T233" s="117"/>
      <c r="U233" s="118"/>
      <c r="W233" s="35" t="str">
        <f>"-- "&amp;C233</f>
        <v>-- 成分量マスタ取込用テーブルのレコードをバックアップ_成分量マスタ取込用テーブルに格納する。</v>
      </c>
    </row>
    <row r="235" spans="2:23" ht="18.75" customHeight="1">
      <c r="C235" s="119" t="s">
        <v>3524</v>
      </c>
      <c r="D235" s="120"/>
      <c r="E235" s="123" t="s">
        <v>162</v>
      </c>
      <c r="F235" s="36"/>
      <c r="G235" s="36"/>
      <c r="H235" s="36"/>
      <c r="I235" s="36"/>
      <c r="J235" s="36"/>
      <c r="K235" s="36"/>
      <c r="L235" s="36"/>
      <c r="M235" s="36"/>
      <c r="N235" s="36"/>
      <c r="O235" s="36"/>
      <c r="P235" s="36"/>
      <c r="Q235" s="36"/>
      <c r="R235" s="119" t="str">
        <f>"バックアップ_"&amp;SUBSTITUTE(C235,"_結合","")</f>
        <v>バックアップ_成分量マスタ取込用</v>
      </c>
      <c r="S235" s="120"/>
      <c r="T235" s="125" t="str">
        <f>エンティティ一覧!$O$2</f>
        <v>milscm_2023_007</v>
      </c>
    </row>
    <row r="236" spans="2:23" ht="18.75" customHeight="1">
      <c r="C236" s="121"/>
      <c r="D236" s="122"/>
      <c r="E236" s="124"/>
      <c r="F236" s="37"/>
      <c r="G236" s="37"/>
      <c r="H236" s="37"/>
      <c r="I236" s="37"/>
      <c r="J236" s="37"/>
      <c r="K236" s="37"/>
      <c r="L236" s="37"/>
      <c r="M236" s="37"/>
      <c r="N236" s="37"/>
      <c r="O236" s="37"/>
      <c r="P236" s="37"/>
      <c r="Q236" s="37"/>
      <c r="R236" s="121"/>
      <c r="S236" s="122"/>
      <c r="T236" s="126"/>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27" t="str">
        <f>R244&amp;"登録"</f>
        <v>バックアップ_成分名マスタ取込用登録</v>
      </c>
      <c r="D241" s="128"/>
      <c r="E241" s="128"/>
      <c r="F241" s="128"/>
      <c r="G241" s="128"/>
      <c r="H241" s="128"/>
      <c r="I241" s="128"/>
      <c r="J241" s="128"/>
      <c r="K241" s="128"/>
      <c r="L241" s="128"/>
      <c r="M241" s="128"/>
      <c r="N241" s="128"/>
      <c r="O241" s="128"/>
      <c r="P241" s="128"/>
      <c r="Q241" s="128"/>
      <c r="R241" s="128"/>
      <c r="S241" s="128"/>
      <c r="T241" s="128"/>
      <c r="U241" s="129"/>
      <c r="W241" s="35" t="str">
        <f>"-- "&amp;C241</f>
        <v>-- バックアップ_成分名マスタ取込用登録</v>
      </c>
    </row>
    <row r="242" spans="2:23" ht="18.75" customHeight="1">
      <c r="B242" s="43" t="s">
        <v>159</v>
      </c>
      <c r="C242" s="116" t="str">
        <f>C244&amp;"テーブルのレコードを"&amp;R244&amp;"テーブルに格納する。"</f>
        <v>成分名マスタ取込用テーブルのレコードをバックアップ_成分名マスタ取込用テーブルに格納する。</v>
      </c>
      <c r="D242" s="117"/>
      <c r="E242" s="117"/>
      <c r="F242" s="117"/>
      <c r="G242" s="117"/>
      <c r="H242" s="117"/>
      <c r="I242" s="117"/>
      <c r="J242" s="117"/>
      <c r="K242" s="117"/>
      <c r="L242" s="117"/>
      <c r="M242" s="117"/>
      <c r="N242" s="117"/>
      <c r="O242" s="117"/>
      <c r="P242" s="117"/>
      <c r="Q242" s="117"/>
      <c r="R242" s="117"/>
      <c r="S242" s="117"/>
      <c r="T242" s="117"/>
      <c r="U242" s="118"/>
      <c r="W242" s="35" t="str">
        <f>"-- "&amp;C242</f>
        <v>-- 成分名マスタ取込用テーブルのレコードをバックアップ_成分名マスタ取込用テーブルに格納する。</v>
      </c>
    </row>
    <row r="244" spans="2:23" ht="18.75" customHeight="1">
      <c r="C244" s="119" t="s">
        <v>3526</v>
      </c>
      <c r="D244" s="120"/>
      <c r="E244" s="123" t="s">
        <v>162</v>
      </c>
      <c r="F244" s="36"/>
      <c r="G244" s="36"/>
      <c r="H244" s="36"/>
      <c r="I244" s="36"/>
      <c r="J244" s="36"/>
      <c r="K244" s="36"/>
      <c r="L244" s="36"/>
      <c r="M244" s="36"/>
      <c r="N244" s="36"/>
      <c r="O244" s="36"/>
      <c r="P244" s="36"/>
      <c r="Q244" s="36"/>
      <c r="R244" s="119" t="str">
        <f>"バックアップ_"&amp;SUBSTITUTE(C244,"_結合","")</f>
        <v>バックアップ_成分名マスタ取込用</v>
      </c>
      <c r="S244" s="120"/>
      <c r="T244" s="125" t="str">
        <f>エンティティ一覧!$O$2</f>
        <v>milscm_2023_007</v>
      </c>
    </row>
    <row r="245" spans="2:23" ht="18.75" customHeight="1">
      <c r="C245" s="121"/>
      <c r="D245" s="122"/>
      <c r="E245" s="124"/>
      <c r="F245" s="37"/>
      <c r="G245" s="37"/>
      <c r="H245" s="37"/>
      <c r="I245" s="37"/>
      <c r="J245" s="37"/>
      <c r="K245" s="37"/>
      <c r="L245" s="37"/>
      <c r="M245" s="37"/>
      <c r="N245" s="37"/>
      <c r="O245" s="37"/>
      <c r="P245" s="37"/>
      <c r="Q245" s="37"/>
      <c r="R245" s="121"/>
      <c r="S245" s="122"/>
      <c r="T245" s="126"/>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27" t="str">
        <f>R253&amp;"登録"</f>
        <v>バックアップ_単位マスタ取込用登録</v>
      </c>
      <c r="D250" s="128"/>
      <c r="E250" s="128"/>
      <c r="F250" s="128"/>
      <c r="G250" s="128"/>
      <c r="H250" s="128"/>
      <c r="I250" s="128"/>
      <c r="J250" s="128"/>
      <c r="K250" s="128"/>
      <c r="L250" s="128"/>
      <c r="M250" s="128"/>
      <c r="N250" s="128"/>
      <c r="O250" s="128"/>
      <c r="P250" s="128"/>
      <c r="Q250" s="128"/>
      <c r="R250" s="128"/>
      <c r="S250" s="128"/>
      <c r="T250" s="128"/>
      <c r="U250" s="129"/>
      <c r="W250" s="35" t="str">
        <f>"-- "&amp;C250</f>
        <v>-- バックアップ_単位マスタ取込用登録</v>
      </c>
    </row>
    <row r="251" spans="2:23" ht="18.75" customHeight="1">
      <c r="B251" s="43" t="s">
        <v>159</v>
      </c>
      <c r="C251" s="116" t="str">
        <f>C253&amp;"テーブルのレコードを"&amp;R253&amp;"テーブルに格納する。"</f>
        <v>単位マスタ取込用テーブルのレコードをバックアップ_単位マスタ取込用テーブルに格納する。</v>
      </c>
      <c r="D251" s="117"/>
      <c r="E251" s="117"/>
      <c r="F251" s="117"/>
      <c r="G251" s="117"/>
      <c r="H251" s="117"/>
      <c r="I251" s="117"/>
      <c r="J251" s="117"/>
      <c r="K251" s="117"/>
      <c r="L251" s="117"/>
      <c r="M251" s="117"/>
      <c r="N251" s="117"/>
      <c r="O251" s="117"/>
      <c r="P251" s="117"/>
      <c r="Q251" s="117"/>
      <c r="R251" s="117"/>
      <c r="S251" s="117"/>
      <c r="T251" s="117"/>
      <c r="U251" s="118"/>
      <c r="W251" s="35" t="str">
        <f>"-- "&amp;C251</f>
        <v>-- 単位マスタ取込用テーブルのレコードをバックアップ_単位マスタ取込用テーブルに格納する。</v>
      </c>
    </row>
    <row r="253" spans="2:23" ht="18.75" customHeight="1">
      <c r="C253" s="119" t="s">
        <v>3528</v>
      </c>
      <c r="D253" s="120"/>
      <c r="E253" s="123" t="s">
        <v>162</v>
      </c>
      <c r="F253" s="36"/>
      <c r="G253" s="36"/>
      <c r="H253" s="36"/>
      <c r="I253" s="36"/>
      <c r="J253" s="36"/>
      <c r="K253" s="36"/>
      <c r="L253" s="36"/>
      <c r="M253" s="36"/>
      <c r="N253" s="36"/>
      <c r="O253" s="36"/>
      <c r="P253" s="36"/>
      <c r="Q253" s="36"/>
      <c r="R253" s="119" t="str">
        <f>"バックアップ_"&amp;SUBSTITUTE(C253,"_結合","")</f>
        <v>バックアップ_単位マスタ取込用</v>
      </c>
      <c r="S253" s="120"/>
      <c r="T253" s="125" t="str">
        <f>エンティティ一覧!$O$2</f>
        <v>milscm_2023_007</v>
      </c>
    </row>
    <row r="254" spans="2:23" ht="18.75" customHeight="1">
      <c r="C254" s="121"/>
      <c r="D254" s="122"/>
      <c r="E254" s="124"/>
      <c r="F254" s="37"/>
      <c r="G254" s="37"/>
      <c r="H254" s="37"/>
      <c r="I254" s="37"/>
      <c r="J254" s="37"/>
      <c r="K254" s="37"/>
      <c r="L254" s="37"/>
      <c r="M254" s="37"/>
      <c r="N254" s="37"/>
      <c r="O254" s="37"/>
      <c r="P254" s="37"/>
      <c r="Q254" s="37"/>
      <c r="R254" s="121"/>
      <c r="S254" s="122"/>
      <c r="T254" s="126"/>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27" t="str">
        <f>R262&amp;"登録"</f>
        <v>バックアップ_適応病名レセ病名組み合わせ関係リンクマスタ取込用登録</v>
      </c>
      <c r="D259" s="128"/>
      <c r="E259" s="128"/>
      <c r="F259" s="128"/>
      <c r="G259" s="128"/>
      <c r="H259" s="128"/>
      <c r="I259" s="128"/>
      <c r="J259" s="128"/>
      <c r="K259" s="128"/>
      <c r="L259" s="128"/>
      <c r="M259" s="128"/>
      <c r="N259" s="128"/>
      <c r="O259" s="128"/>
      <c r="P259" s="128"/>
      <c r="Q259" s="128"/>
      <c r="R259" s="128"/>
      <c r="S259" s="128"/>
      <c r="T259" s="128"/>
      <c r="U259" s="129"/>
      <c r="W259" s="35" t="str">
        <f>"-- "&amp;C259</f>
        <v>-- バックアップ_適応病名レセ病名組み合わせ関係リンクマスタ取込用登録</v>
      </c>
    </row>
    <row r="260" spans="2:23" ht="18.75" customHeight="1">
      <c r="B260" s="43" t="s">
        <v>159</v>
      </c>
      <c r="C260" s="116"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17"/>
      <c r="E260" s="117"/>
      <c r="F260" s="117"/>
      <c r="G260" s="117"/>
      <c r="H260" s="117"/>
      <c r="I260" s="117"/>
      <c r="J260" s="117"/>
      <c r="K260" s="117"/>
      <c r="L260" s="117"/>
      <c r="M260" s="117"/>
      <c r="N260" s="117"/>
      <c r="O260" s="117"/>
      <c r="P260" s="117"/>
      <c r="Q260" s="117"/>
      <c r="R260" s="117"/>
      <c r="S260" s="117"/>
      <c r="T260" s="117"/>
      <c r="U260" s="118"/>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19" t="s">
        <v>3530</v>
      </c>
      <c r="D262" s="120"/>
      <c r="E262" s="123" t="s">
        <v>162</v>
      </c>
      <c r="F262" s="36"/>
      <c r="G262" s="36"/>
      <c r="H262" s="36"/>
      <c r="I262" s="36"/>
      <c r="J262" s="36"/>
      <c r="K262" s="36"/>
      <c r="L262" s="36"/>
      <c r="M262" s="36"/>
      <c r="N262" s="36"/>
      <c r="O262" s="36"/>
      <c r="P262" s="36"/>
      <c r="Q262" s="36"/>
      <c r="R262" s="134" t="str">
        <f>"バックアップ_"&amp;SUBSTITUTE(C262,"_結合","")</f>
        <v>バックアップ_適応病名レセ病名組み合わせ関係リンクマスタ取込用</v>
      </c>
      <c r="S262" s="135"/>
      <c r="T262" s="125" t="str">
        <f>エンティティ一覧!$O$2</f>
        <v>milscm_2023_007</v>
      </c>
    </row>
    <row r="263" spans="2:23" ht="18.75" customHeight="1">
      <c r="C263" s="121"/>
      <c r="D263" s="122"/>
      <c r="E263" s="124"/>
      <c r="F263" s="37"/>
      <c r="G263" s="37"/>
      <c r="H263" s="37"/>
      <c r="I263" s="37"/>
      <c r="J263" s="37"/>
      <c r="K263" s="37"/>
      <c r="L263" s="37"/>
      <c r="M263" s="37"/>
      <c r="N263" s="37"/>
      <c r="O263" s="37"/>
      <c r="P263" s="37"/>
      <c r="Q263" s="37"/>
      <c r="R263" s="136"/>
      <c r="S263" s="137"/>
      <c r="T263" s="126"/>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27" t="str">
        <f>R271&amp;"登録"</f>
        <v>バックアップ_適応病名レセ病名組み合わせ関係リンク親子マスタ取込用登録</v>
      </c>
      <c r="D268" s="128"/>
      <c r="E268" s="128"/>
      <c r="F268" s="128"/>
      <c r="G268" s="128"/>
      <c r="H268" s="128"/>
      <c r="I268" s="128"/>
      <c r="J268" s="128"/>
      <c r="K268" s="128"/>
      <c r="L268" s="128"/>
      <c r="M268" s="128"/>
      <c r="N268" s="128"/>
      <c r="O268" s="128"/>
      <c r="P268" s="128"/>
      <c r="Q268" s="128"/>
      <c r="R268" s="128"/>
      <c r="S268" s="128"/>
      <c r="T268" s="128"/>
      <c r="U268" s="129"/>
      <c r="W268" s="35" t="str">
        <f>"-- "&amp;C268</f>
        <v>-- バックアップ_適応病名レセ病名組み合わせ関係リンク親子マスタ取込用登録</v>
      </c>
    </row>
    <row r="269" spans="2:23" ht="18.75" customHeight="1">
      <c r="B269" s="43" t="s">
        <v>159</v>
      </c>
      <c r="C269" s="116"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17"/>
      <c r="E269" s="117"/>
      <c r="F269" s="117"/>
      <c r="G269" s="117"/>
      <c r="H269" s="117"/>
      <c r="I269" s="117"/>
      <c r="J269" s="117"/>
      <c r="K269" s="117"/>
      <c r="L269" s="117"/>
      <c r="M269" s="117"/>
      <c r="N269" s="117"/>
      <c r="O269" s="117"/>
      <c r="P269" s="117"/>
      <c r="Q269" s="117"/>
      <c r="R269" s="117"/>
      <c r="S269" s="117"/>
      <c r="T269" s="117"/>
      <c r="U269" s="118"/>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30" t="s">
        <v>3532</v>
      </c>
      <c r="D271" s="131"/>
      <c r="E271" s="123" t="s">
        <v>162</v>
      </c>
      <c r="F271" s="36"/>
      <c r="G271" s="36"/>
      <c r="H271" s="36"/>
      <c r="I271" s="36"/>
      <c r="J271" s="36"/>
      <c r="K271" s="36"/>
      <c r="L271" s="36"/>
      <c r="M271" s="36"/>
      <c r="N271" s="36"/>
      <c r="O271" s="36"/>
      <c r="P271" s="36"/>
      <c r="Q271" s="36"/>
      <c r="R271" s="134" t="str">
        <f>"バックアップ_"&amp;SUBSTITUTE(C271,"_結合","")</f>
        <v>バックアップ_適応病名レセ病名組み合わせ関係リンク親子マスタ取込用</v>
      </c>
      <c r="S271" s="135"/>
      <c r="T271" s="125" t="str">
        <f>エンティティ一覧!$O$2</f>
        <v>milscm_2023_007</v>
      </c>
    </row>
    <row r="272" spans="2:23" ht="18.75" customHeight="1">
      <c r="C272" s="132"/>
      <c r="D272" s="133"/>
      <c r="E272" s="124"/>
      <c r="F272" s="37"/>
      <c r="G272" s="37"/>
      <c r="H272" s="37"/>
      <c r="I272" s="37"/>
      <c r="J272" s="37"/>
      <c r="K272" s="37"/>
      <c r="L272" s="37"/>
      <c r="M272" s="37"/>
      <c r="N272" s="37"/>
      <c r="O272" s="37"/>
      <c r="P272" s="37"/>
      <c r="Q272" s="37"/>
      <c r="R272" s="136"/>
      <c r="S272" s="137"/>
      <c r="T272" s="126"/>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27" t="str">
        <f>R280&amp;"登録"</f>
        <v>バックアップ_適用病名マスタ取込用登録</v>
      </c>
      <c r="D277" s="128"/>
      <c r="E277" s="128"/>
      <c r="F277" s="128"/>
      <c r="G277" s="128"/>
      <c r="H277" s="128"/>
      <c r="I277" s="128"/>
      <c r="J277" s="128"/>
      <c r="K277" s="128"/>
      <c r="L277" s="128"/>
      <c r="M277" s="128"/>
      <c r="N277" s="128"/>
      <c r="O277" s="128"/>
      <c r="P277" s="128"/>
      <c r="Q277" s="128"/>
      <c r="R277" s="128"/>
      <c r="S277" s="128"/>
      <c r="T277" s="128"/>
      <c r="U277" s="129"/>
      <c r="W277" s="35" t="str">
        <f>"-- "&amp;C277</f>
        <v>-- バックアップ_適用病名マスタ取込用登録</v>
      </c>
    </row>
    <row r="278" spans="2:23" ht="18.75" customHeight="1">
      <c r="B278" s="43" t="s">
        <v>159</v>
      </c>
      <c r="C278" s="116" t="str">
        <f>C280&amp;"テーブルのレコードを"&amp;R280&amp;"テーブルに格納する。"</f>
        <v>適用病名マスタ取込用テーブルのレコードをバックアップ_適用病名マスタ取込用テーブルに格納する。</v>
      </c>
      <c r="D278" s="117"/>
      <c r="E278" s="117"/>
      <c r="F278" s="117"/>
      <c r="G278" s="117"/>
      <c r="H278" s="117"/>
      <c r="I278" s="117"/>
      <c r="J278" s="117"/>
      <c r="K278" s="117"/>
      <c r="L278" s="117"/>
      <c r="M278" s="117"/>
      <c r="N278" s="117"/>
      <c r="O278" s="117"/>
      <c r="P278" s="117"/>
      <c r="Q278" s="117"/>
      <c r="R278" s="117"/>
      <c r="S278" s="117"/>
      <c r="T278" s="117"/>
      <c r="U278" s="118"/>
      <c r="W278" s="35" t="str">
        <f>"-- "&amp;C278</f>
        <v>-- 適用病名マスタ取込用テーブルのレコードをバックアップ_適用病名マスタ取込用テーブルに格納する。</v>
      </c>
    </row>
    <row r="280" spans="2:23" ht="18.75" customHeight="1">
      <c r="C280" s="119" t="s">
        <v>3534</v>
      </c>
      <c r="D280" s="120"/>
      <c r="E280" s="123" t="s">
        <v>162</v>
      </c>
      <c r="F280" s="36"/>
      <c r="G280" s="36"/>
      <c r="H280" s="36"/>
      <c r="I280" s="36"/>
      <c r="J280" s="36"/>
      <c r="K280" s="36"/>
      <c r="L280" s="36"/>
      <c r="M280" s="36"/>
      <c r="N280" s="36"/>
      <c r="O280" s="36"/>
      <c r="P280" s="36"/>
      <c r="Q280" s="36"/>
      <c r="R280" s="119" t="str">
        <f>"バックアップ_"&amp;SUBSTITUTE(C280,"_結合","")</f>
        <v>バックアップ_適用病名マスタ取込用</v>
      </c>
      <c r="S280" s="120"/>
      <c r="T280" s="125" t="str">
        <f>エンティティ一覧!$O$2</f>
        <v>milscm_2023_007</v>
      </c>
    </row>
    <row r="281" spans="2:23" ht="18.75" customHeight="1">
      <c r="C281" s="121"/>
      <c r="D281" s="122"/>
      <c r="E281" s="124"/>
      <c r="F281" s="37"/>
      <c r="G281" s="37"/>
      <c r="H281" s="37"/>
      <c r="I281" s="37"/>
      <c r="J281" s="37"/>
      <c r="K281" s="37"/>
      <c r="L281" s="37"/>
      <c r="M281" s="37"/>
      <c r="N281" s="37"/>
      <c r="O281" s="37"/>
      <c r="P281" s="37"/>
      <c r="Q281" s="37"/>
      <c r="R281" s="121"/>
      <c r="S281" s="122"/>
      <c r="T281" s="126"/>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27" t="str">
        <f>R289&amp;"登録"</f>
        <v>バックアップ_ＹＪコード医薬品コードリンクマスタ取込用登録</v>
      </c>
      <c r="D286" s="128"/>
      <c r="E286" s="128"/>
      <c r="F286" s="128"/>
      <c r="G286" s="128"/>
      <c r="H286" s="128"/>
      <c r="I286" s="128"/>
      <c r="J286" s="128"/>
      <c r="K286" s="128"/>
      <c r="L286" s="128"/>
      <c r="M286" s="128"/>
      <c r="N286" s="128"/>
      <c r="O286" s="128"/>
      <c r="P286" s="128"/>
      <c r="Q286" s="128"/>
      <c r="R286" s="128"/>
      <c r="S286" s="128"/>
      <c r="T286" s="128"/>
      <c r="U286" s="129"/>
      <c r="W286" s="35" t="str">
        <f>"-- "&amp;C286</f>
        <v>-- バックアップ_ＹＪコード医薬品コードリンクマスタ取込用登録</v>
      </c>
    </row>
    <row r="287" spans="2:23" ht="18.75" customHeight="1">
      <c r="B287" s="43" t="s">
        <v>159</v>
      </c>
      <c r="C287" s="116"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17"/>
      <c r="E287" s="117"/>
      <c r="F287" s="117"/>
      <c r="G287" s="117"/>
      <c r="H287" s="117"/>
      <c r="I287" s="117"/>
      <c r="J287" s="117"/>
      <c r="K287" s="117"/>
      <c r="L287" s="117"/>
      <c r="M287" s="117"/>
      <c r="N287" s="117"/>
      <c r="O287" s="117"/>
      <c r="P287" s="117"/>
      <c r="Q287" s="117"/>
      <c r="R287" s="117"/>
      <c r="S287" s="117"/>
      <c r="T287" s="117"/>
      <c r="U287" s="118"/>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19" t="s">
        <v>3536</v>
      </c>
      <c r="D289" s="120"/>
      <c r="E289" s="123" t="s">
        <v>162</v>
      </c>
      <c r="F289" s="36"/>
      <c r="G289" s="36"/>
      <c r="H289" s="36"/>
      <c r="I289" s="36"/>
      <c r="J289" s="36"/>
      <c r="K289" s="36"/>
      <c r="L289" s="36"/>
      <c r="M289" s="36"/>
      <c r="N289" s="36"/>
      <c r="O289" s="36"/>
      <c r="P289" s="36"/>
      <c r="Q289" s="36"/>
      <c r="R289" s="130" t="str">
        <f>"バックアップ_"&amp;SUBSTITUTE(C289,"_結合","")</f>
        <v>バックアップ_ＹＪコード医薬品コードリンクマスタ取込用</v>
      </c>
      <c r="S289" s="131"/>
      <c r="T289" s="125" t="str">
        <f>エンティティ一覧!$O$2</f>
        <v>milscm_2023_007</v>
      </c>
    </row>
    <row r="290" spans="2:23" ht="18.75" customHeight="1">
      <c r="C290" s="121"/>
      <c r="D290" s="122"/>
      <c r="E290" s="124"/>
      <c r="F290" s="37"/>
      <c r="G290" s="37"/>
      <c r="H290" s="37"/>
      <c r="I290" s="37"/>
      <c r="J290" s="37"/>
      <c r="K290" s="37"/>
      <c r="L290" s="37"/>
      <c r="M290" s="37"/>
      <c r="N290" s="37"/>
      <c r="O290" s="37"/>
      <c r="P290" s="37"/>
      <c r="Q290" s="37"/>
      <c r="R290" s="132"/>
      <c r="S290" s="133"/>
      <c r="T290" s="126"/>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27" t="str">
        <f>R298&amp;"登録"</f>
        <v>バックアップ_診療行為付加情報マスタ取込用登録</v>
      </c>
      <c r="D295" s="128"/>
      <c r="E295" s="128"/>
      <c r="F295" s="128"/>
      <c r="G295" s="128"/>
      <c r="H295" s="128"/>
      <c r="I295" s="128"/>
      <c r="J295" s="128"/>
      <c r="K295" s="128"/>
      <c r="L295" s="128"/>
      <c r="M295" s="128"/>
      <c r="N295" s="128"/>
      <c r="O295" s="128"/>
      <c r="P295" s="128"/>
      <c r="Q295" s="128"/>
      <c r="R295" s="128"/>
      <c r="S295" s="128"/>
      <c r="T295" s="128"/>
      <c r="U295" s="129"/>
      <c r="W295" s="35" t="str">
        <f>"-- "&amp;C295</f>
        <v>-- バックアップ_診療行為付加情報マスタ取込用登録</v>
      </c>
    </row>
    <row r="296" spans="2:23" ht="18.75" customHeight="1">
      <c r="B296" s="43" t="s">
        <v>159</v>
      </c>
      <c r="C296" s="116" t="str">
        <f>C298&amp;"テーブルのレコードを"&amp;R298&amp;"テーブルに格納する。"</f>
        <v>診療行為付加情報マスタ取込用テーブルのレコードをバックアップ_診療行為付加情報マスタ取込用テーブルに格納する。</v>
      </c>
      <c r="D296" s="117"/>
      <c r="E296" s="117"/>
      <c r="F296" s="117"/>
      <c r="G296" s="117"/>
      <c r="H296" s="117"/>
      <c r="I296" s="117"/>
      <c r="J296" s="117"/>
      <c r="K296" s="117"/>
      <c r="L296" s="117"/>
      <c r="M296" s="117"/>
      <c r="N296" s="117"/>
      <c r="O296" s="117"/>
      <c r="P296" s="117"/>
      <c r="Q296" s="117"/>
      <c r="R296" s="117"/>
      <c r="S296" s="117"/>
      <c r="T296" s="117"/>
      <c r="U296" s="118"/>
      <c r="W296" s="35" t="str">
        <f>"-- "&amp;C296</f>
        <v>-- 診療行為付加情報マスタ取込用テーブルのレコードをバックアップ_診療行為付加情報マスタ取込用テーブルに格納する。</v>
      </c>
    </row>
    <row r="298" spans="2:23" ht="18.75" customHeight="1">
      <c r="C298" s="119" t="s">
        <v>3538</v>
      </c>
      <c r="D298" s="120"/>
      <c r="E298" s="123" t="s">
        <v>162</v>
      </c>
      <c r="F298" s="36"/>
      <c r="G298" s="36"/>
      <c r="H298" s="36"/>
      <c r="I298" s="36"/>
      <c r="J298" s="36"/>
      <c r="K298" s="36"/>
      <c r="L298" s="36"/>
      <c r="M298" s="36"/>
      <c r="N298" s="36"/>
      <c r="O298" s="36"/>
      <c r="P298" s="36"/>
      <c r="Q298" s="36"/>
      <c r="R298" s="119" t="str">
        <f>"バックアップ_"&amp;SUBSTITUTE(C298,"_結合","")</f>
        <v>バックアップ_診療行為付加情報マスタ取込用</v>
      </c>
      <c r="S298" s="120"/>
      <c r="T298" s="125" t="str">
        <f>エンティティ一覧!$O$2</f>
        <v>milscm_2023_007</v>
      </c>
    </row>
    <row r="299" spans="2:23" ht="18.75" customHeight="1">
      <c r="C299" s="121"/>
      <c r="D299" s="122"/>
      <c r="E299" s="124"/>
      <c r="F299" s="37"/>
      <c r="G299" s="37"/>
      <c r="H299" s="37"/>
      <c r="I299" s="37"/>
      <c r="J299" s="37"/>
      <c r="K299" s="37"/>
      <c r="L299" s="37"/>
      <c r="M299" s="37"/>
      <c r="N299" s="37"/>
      <c r="O299" s="37"/>
      <c r="P299" s="37"/>
      <c r="Q299" s="37"/>
      <c r="R299" s="121"/>
      <c r="S299" s="122"/>
      <c r="T299" s="126"/>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27" t="str">
        <f>R307&amp;"登録"</f>
        <v>バックアップ_処理対象施設マスタ登録</v>
      </c>
      <c r="D304" s="128"/>
      <c r="E304" s="128"/>
      <c r="F304" s="128"/>
      <c r="G304" s="128"/>
      <c r="H304" s="128"/>
      <c r="I304" s="128"/>
      <c r="J304" s="128"/>
      <c r="K304" s="128"/>
      <c r="L304" s="128"/>
      <c r="M304" s="128"/>
      <c r="N304" s="128"/>
      <c r="O304" s="128"/>
      <c r="P304" s="128"/>
      <c r="Q304" s="128"/>
      <c r="R304" s="128"/>
      <c r="S304" s="128"/>
      <c r="T304" s="128"/>
      <c r="U304" s="129"/>
      <c r="W304" s="35" t="str">
        <f>"-- "&amp;C304</f>
        <v>-- バックアップ_処理対象施設マスタ登録</v>
      </c>
    </row>
    <row r="305" spans="2:23" ht="18.75" customHeight="1">
      <c r="B305" s="43" t="s">
        <v>159</v>
      </c>
      <c r="C305" s="116" t="str">
        <f>C307&amp;"テーブルのレコードを"&amp;R307&amp;"テーブルに格納する。"</f>
        <v>処理対象施設マスタテーブルのレコードをバックアップ_処理対象施設マスタテーブルに格納する。</v>
      </c>
      <c r="D305" s="117"/>
      <c r="E305" s="117"/>
      <c r="F305" s="117"/>
      <c r="G305" s="117"/>
      <c r="H305" s="117"/>
      <c r="I305" s="117"/>
      <c r="J305" s="117"/>
      <c r="K305" s="117"/>
      <c r="L305" s="117"/>
      <c r="M305" s="117"/>
      <c r="N305" s="117"/>
      <c r="O305" s="117"/>
      <c r="P305" s="117"/>
      <c r="Q305" s="117"/>
      <c r="R305" s="117"/>
      <c r="S305" s="117"/>
      <c r="T305" s="117"/>
      <c r="U305" s="118"/>
      <c r="W305" s="35" t="str">
        <f>"-- "&amp;C305</f>
        <v>-- 処理対象施設マスタテーブルのレコードをバックアップ_処理対象施設マスタテーブルに格納する。</v>
      </c>
    </row>
    <row r="307" spans="2:23" ht="18.75" customHeight="1">
      <c r="C307" s="119" t="s">
        <v>3540</v>
      </c>
      <c r="D307" s="120"/>
      <c r="E307" s="123" t="s">
        <v>162</v>
      </c>
      <c r="F307" s="36"/>
      <c r="G307" s="36"/>
      <c r="H307" s="36"/>
      <c r="I307" s="36"/>
      <c r="J307" s="36"/>
      <c r="K307" s="36"/>
      <c r="L307" s="36"/>
      <c r="M307" s="36"/>
      <c r="N307" s="36"/>
      <c r="O307" s="36"/>
      <c r="P307" s="36"/>
      <c r="Q307" s="36"/>
      <c r="R307" s="119" t="str">
        <f>"バックアップ_"&amp;SUBSTITUTE(C307,"_結合","")</f>
        <v>バックアップ_処理対象施設マスタ</v>
      </c>
      <c r="S307" s="120"/>
      <c r="T307" s="125" t="str">
        <f>エンティティ一覧!$O$2</f>
        <v>milscm_2023_007</v>
      </c>
    </row>
    <row r="308" spans="2:23" ht="18.75" customHeight="1">
      <c r="C308" s="121"/>
      <c r="D308" s="122"/>
      <c r="E308" s="124"/>
      <c r="F308" s="37"/>
      <c r="G308" s="37"/>
      <c r="H308" s="37"/>
      <c r="I308" s="37"/>
      <c r="J308" s="37"/>
      <c r="K308" s="37"/>
      <c r="L308" s="37"/>
      <c r="M308" s="37"/>
      <c r="N308" s="37"/>
      <c r="O308" s="37"/>
      <c r="P308" s="37"/>
      <c r="Q308" s="37"/>
      <c r="R308" s="121"/>
      <c r="S308" s="122"/>
      <c r="T308" s="126"/>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27" t="str">
        <f>R316&amp;"登録"</f>
        <v>バックアップ_処理対象施設マスタ管理登録</v>
      </c>
      <c r="D313" s="128"/>
      <c r="E313" s="128"/>
      <c r="F313" s="128"/>
      <c r="G313" s="128"/>
      <c r="H313" s="128"/>
      <c r="I313" s="128"/>
      <c r="J313" s="128"/>
      <c r="K313" s="128"/>
      <c r="L313" s="128"/>
      <c r="M313" s="128"/>
      <c r="N313" s="128"/>
      <c r="O313" s="128"/>
      <c r="P313" s="128"/>
      <c r="Q313" s="128"/>
      <c r="R313" s="128"/>
      <c r="S313" s="128"/>
      <c r="T313" s="128"/>
      <c r="U313" s="129"/>
      <c r="W313" s="35" t="str">
        <f>"-- "&amp;C313</f>
        <v>-- バックアップ_処理対象施設マスタ管理登録</v>
      </c>
    </row>
    <row r="314" spans="2:23" ht="18.75" customHeight="1">
      <c r="B314" s="43" t="s">
        <v>159</v>
      </c>
      <c r="C314" s="116" t="str">
        <f>C316&amp;"テーブルのレコードを"&amp;R316&amp;"テーブルに格納する。"</f>
        <v>処理対象施設マスタ管理テーブルのレコードをバックアップ_処理対象施設マスタ管理テーブルに格納する。</v>
      </c>
      <c r="D314" s="117"/>
      <c r="E314" s="117"/>
      <c r="F314" s="117"/>
      <c r="G314" s="117"/>
      <c r="H314" s="117"/>
      <c r="I314" s="117"/>
      <c r="J314" s="117"/>
      <c r="K314" s="117"/>
      <c r="L314" s="117"/>
      <c r="M314" s="117"/>
      <c r="N314" s="117"/>
      <c r="O314" s="117"/>
      <c r="P314" s="117"/>
      <c r="Q314" s="117"/>
      <c r="R314" s="117"/>
      <c r="S314" s="117"/>
      <c r="T314" s="117"/>
      <c r="U314" s="118"/>
      <c r="W314" s="35" t="str">
        <f>"-- "&amp;C314</f>
        <v>-- 処理対象施設マスタ管理テーブルのレコードをバックアップ_処理対象施設マスタ管理テーブルに格納する。</v>
      </c>
    </row>
    <row r="316" spans="2:23" ht="18.75" customHeight="1">
      <c r="C316" s="119" t="s">
        <v>3542</v>
      </c>
      <c r="D316" s="120"/>
      <c r="E316" s="123" t="s">
        <v>162</v>
      </c>
      <c r="F316" s="36"/>
      <c r="G316" s="36"/>
      <c r="H316" s="36"/>
      <c r="I316" s="36"/>
      <c r="J316" s="36"/>
      <c r="K316" s="36"/>
      <c r="L316" s="36"/>
      <c r="M316" s="36"/>
      <c r="N316" s="36"/>
      <c r="O316" s="36"/>
      <c r="P316" s="36"/>
      <c r="Q316" s="36"/>
      <c r="R316" s="119" t="str">
        <f>"バックアップ_"&amp;SUBSTITUTE(C316,"_結合","")</f>
        <v>バックアップ_処理対象施設マスタ管理</v>
      </c>
      <c r="S316" s="120"/>
      <c r="T316" s="125" t="str">
        <f>エンティティ一覧!$O$2</f>
        <v>milscm_2023_007</v>
      </c>
    </row>
    <row r="317" spans="2:23" ht="18.75" customHeight="1">
      <c r="C317" s="121"/>
      <c r="D317" s="122"/>
      <c r="E317" s="124"/>
      <c r="F317" s="37"/>
      <c r="G317" s="37"/>
      <c r="H317" s="37"/>
      <c r="I317" s="37"/>
      <c r="J317" s="37"/>
      <c r="K317" s="37"/>
      <c r="L317" s="37"/>
      <c r="M317" s="37"/>
      <c r="N317" s="37"/>
      <c r="O317" s="37"/>
      <c r="P317" s="37"/>
      <c r="Q317" s="37"/>
      <c r="R317" s="121"/>
      <c r="S317" s="122"/>
      <c r="T317" s="126"/>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27" t="str">
        <f>R325&amp;"登録"</f>
        <v>バックアップ_医薬品マスタ登録</v>
      </c>
      <c r="D322" s="128"/>
      <c r="E322" s="128"/>
      <c r="F322" s="128"/>
      <c r="G322" s="128"/>
      <c r="H322" s="128"/>
      <c r="I322" s="128"/>
      <c r="J322" s="128"/>
      <c r="K322" s="128"/>
      <c r="L322" s="128"/>
      <c r="M322" s="128"/>
      <c r="N322" s="128"/>
      <c r="O322" s="128"/>
      <c r="P322" s="128"/>
      <c r="Q322" s="128"/>
      <c r="R322" s="128"/>
      <c r="S322" s="128"/>
      <c r="T322" s="128"/>
      <c r="U322" s="129"/>
      <c r="W322" s="35" t="str">
        <f>"-- "&amp;C322</f>
        <v>-- バックアップ_医薬品マスタ登録</v>
      </c>
    </row>
    <row r="323" spans="2:23" ht="18.75" customHeight="1">
      <c r="B323" s="43" t="s">
        <v>159</v>
      </c>
      <c r="C323" s="116" t="str">
        <f>C325&amp;"テーブルのレコードを"&amp;R325&amp;"テーブルに格納する。"</f>
        <v>医薬品マスタテーブルのレコードをバックアップ_医薬品マスタテーブルに格納する。</v>
      </c>
      <c r="D323" s="117"/>
      <c r="E323" s="117"/>
      <c r="F323" s="117"/>
      <c r="G323" s="117"/>
      <c r="H323" s="117"/>
      <c r="I323" s="117"/>
      <c r="J323" s="117"/>
      <c r="K323" s="117"/>
      <c r="L323" s="117"/>
      <c r="M323" s="117"/>
      <c r="N323" s="117"/>
      <c r="O323" s="117"/>
      <c r="P323" s="117"/>
      <c r="Q323" s="117"/>
      <c r="R323" s="117"/>
      <c r="S323" s="117"/>
      <c r="T323" s="117"/>
      <c r="U323" s="118"/>
      <c r="W323" s="35" t="str">
        <f>"-- "&amp;C323</f>
        <v>-- 医薬品マスタテーブルのレコードをバックアップ_医薬品マスタテーブルに格納する。</v>
      </c>
    </row>
    <row r="325" spans="2:23" ht="18.75" customHeight="1">
      <c r="C325" s="119" t="s">
        <v>3544</v>
      </c>
      <c r="D325" s="120"/>
      <c r="E325" s="123" t="s">
        <v>162</v>
      </c>
      <c r="F325" s="36"/>
      <c r="G325" s="36"/>
      <c r="H325" s="36"/>
      <c r="I325" s="36"/>
      <c r="J325" s="36"/>
      <c r="K325" s="36"/>
      <c r="L325" s="36"/>
      <c r="M325" s="36"/>
      <c r="N325" s="36"/>
      <c r="O325" s="36"/>
      <c r="P325" s="36"/>
      <c r="Q325" s="36"/>
      <c r="R325" s="119" t="str">
        <f>"バックアップ_"&amp;SUBSTITUTE(C325,"_結合","")</f>
        <v>バックアップ_医薬品マスタ</v>
      </c>
      <c r="S325" s="120"/>
      <c r="T325" s="125" t="str">
        <f>エンティティ一覧!$O$2</f>
        <v>milscm_2023_007</v>
      </c>
    </row>
    <row r="326" spans="2:23" ht="18.75" customHeight="1">
      <c r="C326" s="121"/>
      <c r="D326" s="122"/>
      <c r="E326" s="124"/>
      <c r="F326" s="37"/>
      <c r="G326" s="37"/>
      <c r="H326" s="37"/>
      <c r="I326" s="37"/>
      <c r="J326" s="37"/>
      <c r="K326" s="37"/>
      <c r="L326" s="37"/>
      <c r="M326" s="37"/>
      <c r="N326" s="37"/>
      <c r="O326" s="37"/>
      <c r="P326" s="37"/>
      <c r="Q326" s="37"/>
      <c r="R326" s="121"/>
      <c r="S326" s="122"/>
      <c r="T326" s="126"/>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27" t="str">
        <f>R334&amp;"登録"</f>
        <v>バックアップ_医薬品ブランドマスタ登録</v>
      </c>
      <c r="D331" s="128"/>
      <c r="E331" s="128"/>
      <c r="F331" s="128"/>
      <c r="G331" s="128"/>
      <c r="H331" s="128"/>
      <c r="I331" s="128"/>
      <c r="J331" s="128"/>
      <c r="K331" s="128"/>
      <c r="L331" s="128"/>
      <c r="M331" s="128"/>
      <c r="N331" s="128"/>
      <c r="O331" s="128"/>
      <c r="P331" s="128"/>
      <c r="Q331" s="128"/>
      <c r="R331" s="128"/>
      <c r="S331" s="128"/>
      <c r="T331" s="128"/>
      <c r="U331" s="129"/>
      <c r="W331" s="35" t="str">
        <f>"-- "&amp;C331</f>
        <v>-- バックアップ_医薬品ブランドマスタ登録</v>
      </c>
    </row>
    <row r="332" spans="2:23" ht="18.75" customHeight="1">
      <c r="B332" s="43" t="s">
        <v>159</v>
      </c>
      <c r="C332" s="116" t="str">
        <f>C334&amp;"テーブルのレコードを"&amp;R334&amp;"テーブルに格納する。"</f>
        <v>医薬品ブランドマスタテーブルのレコードをバックアップ_医薬品ブランドマスタテーブルに格納する。</v>
      </c>
      <c r="D332" s="117"/>
      <c r="E332" s="117"/>
      <c r="F332" s="117"/>
      <c r="G332" s="117"/>
      <c r="H332" s="117"/>
      <c r="I332" s="117"/>
      <c r="J332" s="117"/>
      <c r="K332" s="117"/>
      <c r="L332" s="117"/>
      <c r="M332" s="117"/>
      <c r="N332" s="117"/>
      <c r="O332" s="117"/>
      <c r="P332" s="117"/>
      <c r="Q332" s="117"/>
      <c r="R332" s="117"/>
      <c r="S332" s="117"/>
      <c r="T332" s="117"/>
      <c r="U332" s="118"/>
      <c r="W332" s="35" t="str">
        <f>"-- "&amp;C332</f>
        <v>-- 医薬品ブランドマスタテーブルのレコードをバックアップ_医薬品ブランドマスタテーブルに格納する。</v>
      </c>
    </row>
    <row r="334" spans="2:23" ht="18.75" customHeight="1">
      <c r="C334" s="119" t="s">
        <v>3546</v>
      </c>
      <c r="D334" s="120"/>
      <c r="E334" s="123" t="s">
        <v>162</v>
      </c>
      <c r="F334" s="36"/>
      <c r="G334" s="36"/>
      <c r="H334" s="36"/>
      <c r="I334" s="36"/>
      <c r="J334" s="36"/>
      <c r="K334" s="36"/>
      <c r="L334" s="36"/>
      <c r="M334" s="36"/>
      <c r="N334" s="36"/>
      <c r="O334" s="36"/>
      <c r="P334" s="36"/>
      <c r="Q334" s="36"/>
      <c r="R334" s="119" t="str">
        <f>"バックアップ_"&amp;SUBSTITUTE(C334,"_結合","")</f>
        <v>バックアップ_医薬品ブランドマスタ</v>
      </c>
      <c r="S334" s="120"/>
      <c r="T334" s="125" t="str">
        <f>エンティティ一覧!$O$2</f>
        <v>milscm_2023_007</v>
      </c>
    </row>
    <row r="335" spans="2:23" ht="18.75" customHeight="1">
      <c r="C335" s="121"/>
      <c r="D335" s="122"/>
      <c r="E335" s="124"/>
      <c r="F335" s="37"/>
      <c r="G335" s="37"/>
      <c r="H335" s="37"/>
      <c r="I335" s="37"/>
      <c r="J335" s="37"/>
      <c r="K335" s="37"/>
      <c r="L335" s="37"/>
      <c r="M335" s="37"/>
      <c r="N335" s="37"/>
      <c r="O335" s="37"/>
      <c r="P335" s="37"/>
      <c r="Q335" s="37"/>
      <c r="R335" s="121"/>
      <c r="S335" s="122"/>
      <c r="T335" s="126"/>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27" t="str">
        <f>R343&amp;"登録"</f>
        <v>バックアップ_医薬品一般名マスタ登録</v>
      </c>
      <c r="D340" s="128"/>
      <c r="E340" s="128"/>
      <c r="F340" s="128"/>
      <c r="G340" s="128"/>
      <c r="H340" s="128"/>
      <c r="I340" s="128"/>
      <c r="J340" s="128"/>
      <c r="K340" s="128"/>
      <c r="L340" s="128"/>
      <c r="M340" s="128"/>
      <c r="N340" s="128"/>
      <c r="O340" s="128"/>
      <c r="P340" s="128"/>
      <c r="Q340" s="128"/>
      <c r="R340" s="128"/>
      <c r="S340" s="128"/>
      <c r="T340" s="128"/>
      <c r="U340" s="129"/>
      <c r="W340" s="35" t="str">
        <f>"-- "&amp;C340</f>
        <v>-- バックアップ_医薬品一般名マスタ登録</v>
      </c>
    </row>
    <row r="341" spans="2:23" ht="18.75" customHeight="1">
      <c r="B341" s="43" t="s">
        <v>159</v>
      </c>
      <c r="C341" s="116" t="str">
        <f>C343&amp;"テーブルのレコードを"&amp;R343&amp;"テーブルに格納する。"</f>
        <v>医薬品一般名マスタテーブルのレコードをバックアップ_医薬品一般名マスタテーブルに格納する。</v>
      </c>
      <c r="D341" s="117"/>
      <c r="E341" s="117"/>
      <c r="F341" s="117"/>
      <c r="G341" s="117"/>
      <c r="H341" s="117"/>
      <c r="I341" s="117"/>
      <c r="J341" s="117"/>
      <c r="K341" s="117"/>
      <c r="L341" s="117"/>
      <c r="M341" s="117"/>
      <c r="N341" s="117"/>
      <c r="O341" s="117"/>
      <c r="P341" s="117"/>
      <c r="Q341" s="117"/>
      <c r="R341" s="117"/>
      <c r="S341" s="117"/>
      <c r="T341" s="117"/>
      <c r="U341" s="118"/>
      <c r="W341" s="35" t="str">
        <f>"-- "&amp;C341</f>
        <v>-- 医薬品一般名マスタテーブルのレコードをバックアップ_医薬品一般名マスタテーブルに格納する。</v>
      </c>
    </row>
    <row r="343" spans="2:23" ht="18.75" customHeight="1">
      <c r="C343" s="119" t="s">
        <v>3548</v>
      </c>
      <c r="D343" s="120"/>
      <c r="E343" s="123" t="s">
        <v>162</v>
      </c>
      <c r="F343" s="36"/>
      <c r="G343" s="36"/>
      <c r="H343" s="36"/>
      <c r="I343" s="36"/>
      <c r="J343" s="36"/>
      <c r="K343" s="36"/>
      <c r="L343" s="36"/>
      <c r="M343" s="36"/>
      <c r="N343" s="36"/>
      <c r="O343" s="36"/>
      <c r="P343" s="36"/>
      <c r="Q343" s="36"/>
      <c r="R343" s="119" t="str">
        <f>"バックアップ_"&amp;SUBSTITUTE(C343,"_結合","")</f>
        <v>バックアップ_医薬品一般名マスタ</v>
      </c>
      <c r="S343" s="120"/>
      <c r="T343" s="125" t="str">
        <f>エンティティ一覧!$O$2</f>
        <v>milscm_2023_007</v>
      </c>
    </row>
    <row r="344" spans="2:23" ht="18.75" customHeight="1">
      <c r="C344" s="121"/>
      <c r="D344" s="122"/>
      <c r="E344" s="124"/>
      <c r="F344" s="37"/>
      <c r="G344" s="37"/>
      <c r="H344" s="37"/>
      <c r="I344" s="37"/>
      <c r="J344" s="37"/>
      <c r="K344" s="37"/>
      <c r="L344" s="37"/>
      <c r="M344" s="37"/>
      <c r="N344" s="37"/>
      <c r="O344" s="37"/>
      <c r="P344" s="37"/>
      <c r="Q344" s="37"/>
      <c r="R344" s="121"/>
      <c r="S344" s="122"/>
      <c r="T344" s="126"/>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27" t="str">
        <f>R352&amp;"登録"</f>
        <v>バックアップ_医薬品販売会社マスタ登録</v>
      </c>
      <c r="D349" s="128"/>
      <c r="E349" s="128"/>
      <c r="F349" s="128"/>
      <c r="G349" s="128"/>
      <c r="H349" s="128"/>
      <c r="I349" s="128"/>
      <c r="J349" s="128"/>
      <c r="K349" s="128"/>
      <c r="L349" s="128"/>
      <c r="M349" s="128"/>
      <c r="N349" s="128"/>
      <c r="O349" s="128"/>
      <c r="P349" s="128"/>
      <c r="Q349" s="128"/>
      <c r="R349" s="128"/>
      <c r="S349" s="128"/>
      <c r="T349" s="128"/>
      <c r="U349" s="129"/>
      <c r="W349" s="35" t="str">
        <f>"-- "&amp;C349</f>
        <v>-- バックアップ_医薬品販売会社マスタ登録</v>
      </c>
    </row>
    <row r="350" spans="2:23" ht="18.75" customHeight="1">
      <c r="B350" s="43" t="s">
        <v>159</v>
      </c>
      <c r="C350" s="116" t="str">
        <f>C352&amp;"テーブルのレコードを"&amp;R352&amp;"テーブルに格納する。"</f>
        <v>医薬品販売会社マスタテーブルのレコードをバックアップ_医薬品販売会社マスタテーブルに格納する。</v>
      </c>
      <c r="D350" s="117"/>
      <c r="E350" s="117"/>
      <c r="F350" s="117"/>
      <c r="G350" s="117"/>
      <c r="H350" s="117"/>
      <c r="I350" s="117"/>
      <c r="J350" s="117"/>
      <c r="K350" s="117"/>
      <c r="L350" s="117"/>
      <c r="M350" s="117"/>
      <c r="N350" s="117"/>
      <c r="O350" s="117"/>
      <c r="P350" s="117"/>
      <c r="Q350" s="117"/>
      <c r="R350" s="117"/>
      <c r="S350" s="117"/>
      <c r="T350" s="117"/>
      <c r="U350" s="118"/>
      <c r="W350" s="35" t="str">
        <f>"-- "&amp;C350</f>
        <v>-- 医薬品販売会社マスタテーブルのレコードをバックアップ_医薬品販売会社マスタテーブルに格納する。</v>
      </c>
    </row>
    <row r="352" spans="2:23" ht="18.75" customHeight="1">
      <c r="C352" s="119" t="s">
        <v>3550</v>
      </c>
      <c r="D352" s="120"/>
      <c r="E352" s="123" t="s">
        <v>162</v>
      </c>
      <c r="F352" s="36"/>
      <c r="G352" s="36"/>
      <c r="H352" s="36"/>
      <c r="I352" s="36"/>
      <c r="J352" s="36"/>
      <c r="K352" s="36"/>
      <c r="L352" s="36"/>
      <c r="M352" s="36"/>
      <c r="N352" s="36"/>
      <c r="O352" s="36"/>
      <c r="P352" s="36"/>
      <c r="Q352" s="36"/>
      <c r="R352" s="119" t="str">
        <f>"バックアップ_"&amp;SUBSTITUTE(C352,"_結合","")</f>
        <v>バックアップ_医薬品販売会社マスタ</v>
      </c>
      <c r="S352" s="120"/>
      <c r="T352" s="125" t="str">
        <f>エンティティ一覧!$O$2</f>
        <v>milscm_2023_007</v>
      </c>
    </row>
    <row r="353" spans="2:23" ht="18.75" customHeight="1">
      <c r="C353" s="121"/>
      <c r="D353" s="122"/>
      <c r="E353" s="124"/>
      <c r="F353" s="37"/>
      <c r="G353" s="37"/>
      <c r="H353" s="37"/>
      <c r="I353" s="37"/>
      <c r="J353" s="37"/>
      <c r="K353" s="37"/>
      <c r="L353" s="37"/>
      <c r="M353" s="37"/>
      <c r="N353" s="37"/>
      <c r="O353" s="37"/>
      <c r="P353" s="37"/>
      <c r="Q353" s="37"/>
      <c r="R353" s="121"/>
      <c r="S353" s="122"/>
      <c r="T353" s="126"/>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27" t="str">
        <f>R361&amp;"登録"</f>
        <v>バックアップ_メーカマスタ登録</v>
      </c>
      <c r="D358" s="128"/>
      <c r="E358" s="128"/>
      <c r="F358" s="128"/>
      <c r="G358" s="128"/>
      <c r="H358" s="128"/>
      <c r="I358" s="128"/>
      <c r="J358" s="128"/>
      <c r="K358" s="128"/>
      <c r="L358" s="128"/>
      <c r="M358" s="128"/>
      <c r="N358" s="128"/>
      <c r="O358" s="128"/>
      <c r="P358" s="128"/>
      <c r="Q358" s="128"/>
      <c r="R358" s="128"/>
      <c r="S358" s="128"/>
      <c r="T358" s="128"/>
      <c r="U358" s="129"/>
      <c r="W358" s="35" t="str">
        <f>"-- "&amp;C358</f>
        <v>-- バックアップ_メーカマスタ登録</v>
      </c>
    </row>
    <row r="359" spans="2:23" ht="18.75" customHeight="1">
      <c r="B359" s="43" t="s">
        <v>159</v>
      </c>
      <c r="C359" s="116" t="str">
        <f>C361&amp;"テーブルのレコードを"&amp;R361&amp;"テーブルに格納する。"</f>
        <v>メーカマスタテーブルのレコードをバックアップ_メーカマスタテーブルに格納する。</v>
      </c>
      <c r="D359" s="117"/>
      <c r="E359" s="117"/>
      <c r="F359" s="117"/>
      <c r="G359" s="117"/>
      <c r="H359" s="117"/>
      <c r="I359" s="117"/>
      <c r="J359" s="117"/>
      <c r="K359" s="117"/>
      <c r="L359" s="117"/>
      <c r="M359" s="117"/>
      <c r="N359" s="117"/>
      <c r="O359" s="117"/>
      <c r="P359" s="117"/>
      <c r="Q359" s="117"/>
      <c r="R359" s="117"/>
      <c r="S359" s="117"/>
      <c r="T359" s="117"/>
      <c r="U359" s="118"/>
      <c r="W359" s="35" t="str">
        <f>"-- "&amp;C359</f>
        <v>-- メーカマスタテーブルのレコードをバックアップ_メーカマスタテーブルに格納する。</v>
      </c>
    </row>
    <row r="361" spans="2:23" ht="18.75" customHeight="1">
      <c r="C361" s="119" t="s">
        <v>3552</v>
      </c>
      <c r="D361" s="120"/>
      <c r="E361" s="123" t="s">
        <v>162</v>
      </c>
      <c r="F361" s="36"/>
      <c r="G361" s="36"/>
      <c r="H361" s="36"/>
      <c r="I361" s="36"/>
      <c r="J361" s="36"/>
      <c r="K361" s="36"/>
      <c r="L361" s="36"/>
      <c r="M361" s="36"/>
      <c r="N361" s="36"/>
      <c r="O361" s="36"/>
      <c r="P361" s="36"/>
      <c r="Q361" s="36"/>
      <c r="R361" s="119" t="str">
        <f>"バックアップ_"&amp;SUBSTITUTE(C361,"_結合","")</f>
        <v>バックアップ_メーカマスタ</v>
      </c>
      <c r="S361" s="120"/>
      <c r="T361" s="125" t="str">
        <f>エンティティ一覧!$O$2</f>
        <v>milscm_2023_007</v>
      </c>
    </row>
    <row r="362" spans="2:23" ht="18.75" customHeight="1">
      <c r="C362" s="121"/>
      <c r="D362" s="122"/>
      <c r="E362" s="124"/>
      <c r="F362" s="37"/>
      <c r="G362" s="37"/>
      <c r="H362" s="37"/>
      <c r="I362" s="37"/>
      <c r="J362" s="37"/>
      <c r="K362" s="37"/>
      <c r="L362" s="37"/>
      <c r="M362" s="37"/>
      <c r="N362" s="37"/>
      <c r="O362" s="37"/>
      <c r="P362" s="37"/>
      <c r="Q362" s="37"/>
      <c r="R362" s="121"/>
      <c r="S362" s="122"/>
      <c r="T362" s="126"/>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27" t="str">
        <f>R370&amp;"登録"</f>
        <v>バックアップ_薬価マスタ登録</v>
      </c>
      <c r="D367" s="128"/>
      <c r="E367" s="128"/>
      <c r="F367" s="128"/>
      <c r="G367" s="128"/>
      <c r="H367" s="128"/>
      <c r="I367" s="128"/>
      <c r="J367" s="128"/>
      <c r="K367" s="128"/>
      <c r="L367" s="128"/>
      <c r="M367" s="128"/>
      <c r="N367" s="128"/>
      <c r="O367" s="128"/>
      <c r="P367" s="128"/>
      <c r="Q367" s="128"/>
      <c r="R367" s="128"/>
      <c r="S367" s="128"/>
      <c r="T367" s="128"/>
      <c r="U367" s="129"/>
      <c r="W367" s="35" t="str">
        <f>"-- "&amp;C367</f>
        <v>-- バックアップ_薬価マスタ登録</v>
      </c>
    </row>
    <row r="368" spans="2:23" ht="18.75" customHeight="1">
      <c r="B368" s="43" t="s">
        <v>159</v>
      </c>
      <c r="C368" s="116" t="str">
        <f>C370&amp;"テーブルのレコードを"&amp;R370&amp;"テーブルに格納する。"</f>
        <v>薬価マスタテーブルのレコードをバックアップ_薬価マスタテーブルに格納する。</v>
      </c>
      <c r="D368" s="117"/>
      <c r="E368" s="117"/>
      <c r="F368" s="117"/>
      <c r="G368" s="117"/>
      <c r="H368" s="117"/>
      <c r="I368" s="117"/>
      <c r="J368" s="117"/>
      <c r="K368" s="117"/>
      <c r="L368" s="117"/>
      <c r="M368" s="117"/>
      <c r="N368" s="117"/>
      <c r="O368" s="117"/>
      <c r="P368" s="117"/>
      <c r="Q368" s="117"/>
      <c r="R368" s="117"/>
      <c r="S368" s="117"/>
      <c r="T368" s="117"/>
      <c r="U368" s="118"/>
      <c r="W368" s="35" t="str">
        <f>"-- "&amp;C368</f>
        <v>-- 薬価マスタテーブルのレコードをバックアップ_薬価マスタテーブルに格納する。</v>
      </c>
    </row>
    <row r="370" spans="2:23" ht="18.75" customHeight="1">
      <c r="C370" s="119" t="s">
        <v>3554</v>
      </c>
      <c r="D370" s="120"/>
      <c r="E370" s="123" t="s">
        <v>162</v>
      </c>
      <c r="F370" s="36"/>
      <c r="G370" s="36"/>
      <c r="H370" s="36"/>
      <c r="I370" s="36"/>
      <c r="J370" s="36"/>
      <c r="K370" s="36"/>
      <c r="L370" s="36"/>
      <c r="M370" s="36"/>
      <c r="N370" s="36"/>
      <c r="O370" s="36"/>
      <c r="P370" s="36"/>
      <c r="Q370" s="36"/>
      <c r="R370" s="119" t="str">
        <f>"バックアップ_"&amp;SUBSTITUTE(C370,"_結合","")</f>
        <v>バックアップ_薬価マスタ</v>
      </c>
      <c r="S370" s="120"/>
      <c r="T370" s="125" t="str">
        <f>エンティティ一覧!$O$2</f>
        <v>milscm_2023_007</v>
      </c>
    </row>
    <row r="371" spans="2:23" ht="18.75" customHeight="1">
      <c r="C371" s="121"/>
      <c r="D371" s="122"/>
      <c r="E371" s="124"/>
      <c r="F371" s="37"/>
      <c r="G371" s="37"/>
      <c r="H371" s="37"/>
      <c r="I371" s="37"/>
      <c r="J371" s="37"/>
      <c r="K371" s="37"/>
      <c r="L371" s="37"/>
      <c r="M371" s="37"/>
      <c r="N371" s="37"/>
      <c r="O371" s="37"/>
      <c r="P371" s="37"/>
      <c r="Q371" s="37"/>
      <c r="R371" s="121"/>
      <c r="S371" s="122"/>
      <c r="T371" s="126"/>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27" t="str">
        <f>R379&amp;"登録"</f>
        <v>バックアップ_薬効ATC分類1マスタ登録</v>
      </c>
      <c r="D376" s="128"/>
      <c r="E376" s="128"/>
      <c r="F376" s="128"/>
      <c r="G376" s="128"/>
      <c r="H376" s="128"/>
      <c r="I376" s="128"/>
      <c r="J376" s="128"/>
      <c r="K376" s="128"/>
      <c r="L376" s="128"/>
      <c r="M376" s="128"/>
      <c r="N376" s="128"/>
      <c r="O376" s="128"/>
      <c r="P376" s="128"/>
      <c r="Q376" s="128"/>
      <c r="R376" s="128"/>
      <c r="S376" s="128"/>
      <c r="T376" s="128"/>
      <c r="U376" s="129"/>
      <c r="W376" s="35" t="str">
        <f>"-- "&amp;C376</f>
        <v>-- バックアップ_薬効ATC分類1マスタ登録</v>
      </c>
    </row>
    <row r="377" spans="2:23" ht="18.75" customHeight="1">
      <c r="B377" s="43" t="s">
        <v>159</v>
      </c>
      <c r="C377" s="116" t="str">
        <f>C379&amp;"テーブルのレコードを"&amp;R379&amp;"テーブルに格納する。"</f>
        <v>薬効ATC分類1マスタテーブルのレコードをバックアップ_薬効ATC分類1マスタテーブルに格納する。</v>
      </c>
      <c r="D377" s="117"/>
      <c r="E377" s="117"/>
      <c r="F377" s="117"/>
      <c r="G377" s="117"/>
      <c r="H377" s="117"/>
      <c r="I377" s="117"/>
      <c r="J377" s="117"/>
      <c r="K377" s="117"/>
      <c r="L377" s="117"/>
      <c r="M377" s="117"/>
      <c r="N377" s="117"/>
      <c r="O377" s="117"/>
      <c r="P377" s="117"/>
      <c r="Q377" s="117"/>
      <c r="R377" s="117"/>
      <c r="S377" s="117"/>
      <c r="T377" s="117"/>
      <c r="U377" s="118"/>
      <c r="W377" s="35" t="str">
        <f>"-- "&amp;C377</f>
        <v>-- 薬効ATC分類1マスタテーブルのレコードをバックアップ_薬効ATC分類1マスタテーブルに格納する。</v>
      </c>
    </row>
    <row r="379" spans="2:23" ht="18.75" customHeight="1">
      <c r="C379" s="119" t="s">
        <v>3556</v>
      </c>
      <c r="D379" s="120"/>
      <c r="E379" s="123" t="s">
        <v>162</v>
      </c>
      <c r="F379" s="36"/>
      <c r="G379" s="36"/>
      <c r="H379" s="36"/>
      <c r="I379" s="36"/>
      <c r="J379" s="36"/>
      <c r="K379" s="36"/>
      <c r="L379" s="36"/>
      <c r="M379" s="36"/>
      <c r="N379" s="36"/>
      <c r="O379" s="36"/>
      <c r="P379" s="36"/>
      <c r="Q379" s="36"/>
      <c r="R379" s="119" t="str">
        <f>"バックアップ_"&amp;SUBSTITUTE(C379,"_結合","")</f>
        <v>バックアップ_薬効ATC分類1マスタ</v>
      </c>
      <c r="S379" s="120"/>
      <c r="T379" s="125" t="str">
        <f>エンティティ一覧!$O$2</f>
        <v>milscm_2023_007</v>
      </c>
    </row>
    <row r="380" spans="2:23" ht="18.75" customHeight="1">
      <c r="C380" s="121"/>
      <c r="D380" s="122"/>
      <c r="E380" s="124"/>
      <c r="F380" s="37"/>
      <c r="G380" s="37"/>
      <c r="H380" s="37"/>
      <c r="I380" s="37"/>
      <c r="J380" s="37"/>
      <c r="K380" s="37"/>
      <c r="L380" s="37"/>
      <c r="M380" s="37"/>
      <c r="N380" s="37"/>
      <c r="O380" s="37"/>
      <c r="P380" s="37"/>
      <c r="Q380" s="37"/>
      <c r="R380" s="121"/>
      <c r="S380" s="122"/>
      <c r="T380" s="126"/>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27" t="str">
        <f>R388&amp;"登録"</f>
        <v>バックアップ_薬効ATC分類2マスタ登録</v>
      </c>
      <c r="D385" s="128"/>
      <c r="E385" s="128"/>
      <c r="F385" s="128"/>
      <c r="G385" s="128"/>
      <c r="H385" s="128"/>
      <c r="I385" s="128"/>
      <c r="J385" s="128"/>
      <c r="K385" s="128"/>
      <c r="L385" s="128"/>
      <c r="M385" s="128"/>
      <c r="N385" s="128"/>
      <c r="O385" s="128"/>
      <c r="P385" s="128"/>
      <c r="Q385" s="128"/>
      <c r="R385" s="128"/>
      <c r="S385" s="128"/>
      <c r="T385" s="128"/>
      <c r="U385" s="129"/>
      <c r="W385" s="35" t="str">
        <f>"-- "&amp;C385</f>
        <v>-- バックアップ_薬効ATC分類2マスタ登録</v>
      </c>
    </row>
    <row r="386" spans="2:23" ht="18.75" customHeight="1">
      <c r="B386" s="43" t="s">
        <v>159</v>
      </c>
      <c r="C386" s="116" t="str">
        <f>C388&amp;"テーブルのレコードを"&amp;R388&amp;"テーブルに格納する。"</f>
        <v>薬効ATC分類2マスタテーブルのレコードをバックアップ_薬効ATC分類2マスタテーブルに格納する。</v>
      </c>
      <c r="D386" s="117"/>
      <c r="E386" s="117"/>
      <c r="F386" s="117"/>
      <c r="G386" s="117"/>
      <c r="H386" s="117"/>
      <c r="I386" s="117"/>
      <c r="J386" s="117"/>
      <c r="K386" s="117"/>
      <c r="L386" s="117"/>
      <c r="M386" s="117"/>
      <c r="N386" s="117"/>
      <c r="O386" s="117"/>
      <c r="P386" s="117"/>
      <c r="Q386" s="117"/>
      <c r="R386" s="117"/>
      <c r="S386" s="117"/>
      <c r="T386" s="117"/>
      <c r="U386" s="118"/>
      <c r="W386" s="35" t="str">
        <f>"-- "&amp;C386</f>
        <v>-- 薬効ATC分類2マスタテーブルのレコードをバックアップ_薬効ATC分類2マスタテーブルに格納する。</v>
      </c>
    </row>
    <row r="388" spans="2:23" ht="18.75" customHeight="1">
      <c r="C388" s="119" t="s">
        <v>3558</v>
      </c>
      <c r="D388" s="120"/>
      <c r="E388" s="123" t="s">
        <v>162</v>
      </c>
      <c r="F388" s="36"/>
      <c r="G388" s="36"/>
      <c r="H388" s="36"/>
      <c r="I388" s="36"/>
      <c r="J388" s="36"/>
      <c r="K388" s="36"/>
      <c r="L388" s="36"/>
      <c r="M388" s="36"/>
      <c r="N388" s="36"/>
      <c r="O388" s="36"/>
      <c r="P388" s="36"/>
      <c r="Q388" s="36"/>
      <c r="R388" s="119" t="str">
        <f>"バックアップ_"&amp;SUBSTITUTE(C388,"_結合","")</f>
        <v>バックアップ_薬効ATC分類2マスタ</v>
      </c>
      <c r="S388" s="120"/>
      <c r="T388" s="125" t="str">
        <f>エンティティ一覧!$O$2</f>
        <v>milscm_2023_007</v>
      </c>
    </row>
    <row r="389" spans="2:23" ht="18.75" customHeight="1">
      <c r="C389" s="121"/>
      <c r="D389" s="122"/>
      <c r="E389" s="124"/>
      <c r="F389" s="37"/>
      <c r="G389" s="37"/>
      <c r="H389" s="37"/>
      <c r="I389" s="37"/>
      <c r="J389" s="37"/>
      <c r="K389" s="37"/>
      <c r="L389" s="37"/>
      <c r="M389" s="37"/>
      <c r="N389" s="37"/>
      <c r="O389" s="37"/>
      <c r="P389" s="37"/>
      <c r="Q389" s="37"/>
      <c r="R389" s="121"/>
      <c r="S389" s="122"/>
      <c r="T389" s="126"/>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27" t="str">
        <f>R397&amp;"登録"</f>
        <v>バックアップ_薬効ATC分類3マスタ登録</v>
      </c>
      <c r="D394" s="128"/>
      <c r="E394" s="128"/>
      <c r="F394" s="128"/>
      <c r="G394" s="128"/>
      <c r="H394" s="128"/>
      <c r="I394" s="128"/>
      <c r="J394" s="128"/>
      <c r="K394" s="128"/>
      <c r="L394" s="128"/>
      <c r="M394" s="128"/>
      <c r="N394" s="128"/>
      <c r="O394" s="128"/>
      <c r="P394" s="128"/>
      <c r="Q394" s="128"/>
      <c r="R394" s="128"/>
      <c r="S394" s="128"/>
      <c r="T394" s="128"/>
      <c r="U394" s="129"/>
      <c r="W394" s="35" t="str">
        <f>"-- "&amp;C394</f>
        <v>-- バックアップ_薬効ATC分類3マスタ登録</v>
      </c>
    </row>
    <row r="395" spans="2:23" ht="18.75" customHeight="1">
      <c r="B395" s="43" t="s">
        <v>159</v>
      </c>
      <c r="C395" s="116" t="str">
        <f>C397&amp;"テーブルのレコードを"&amp;R397&amp;"テーブルに格納する。"</f>
        <v>薬効ATC分類3マスタテーブルのレコードをバックアップ_薬効ATC分類3マスタテーブルに格納する。</v>
      </c>
      <c r="D395" s="117"/>
      <c r="E395" s="117"/>
      <c r="F395" s="117"/>
      <c r="G395" s="117"/>
      <c r="H395" s="117"/>
      <c r="I395" s="117"/>
      <c r="J395" s="117"/>
      <c r="K395" s="117"/>
      <c r="L395" s="117"/>
      <c r="M395" s="117"/>
      <c r="N395" s="117"/>
      <c r="O395" s="117"/>
      <c r="P395" s="117"/>
      <c r="Q395" s="117"/>
      <c r="R395" s="117"/>
      <c r="S395" s="117"/>
      <c r="T395" s="117"/>
      <c r="U395" s="118"/>
      <c r="W395" s="35" t="str">
        <f>"-- "&amp;C395</f>
        <v>-- 薬効ATC分類3マスタテーブルのレコードをバックアップ_薬効ATC分類3マスタテーブルに格納する。</v>
      </c>
    </row>
    <row r="397" spans="2:23" ht="18.75" customHeight="1">
      <c r="C397" s="119" t="s">
        <v>3560</v>
      </c>
      <c r="D397" s="120"/>
      <c r="E397" s="123" t="s">
        <v>162</v>
      </c>
      <c r="F397" s="36"/>
      <c r="G397" s="36"/>
      <c r="H397" s="36"/>
      <c r="I397" s="36"/>
      <c r="J397" s="36"/>
      <c r="K397" s="36"/>
      <c r="L397" s="36"/>
      <c r="M397" s="36"/>
      <c r="N397" s="36"/>
      <c r="O397" s="36"/>
      <c r="P397" s="36"/>
      <c r="Q397" s="36"/>
      <c r="R397" s="119" t="str">
        <f>"バックアップ_"&amp;SUBSTITUTE(C397,"_結合","")</f>
        <v>バックアップ_薬効ATC分類3マスタ</v>
      </c>
      <c r="S397" s="120"/>
      <c r="T397" s="125" t="str">
        <f>エンティティ一覧!$O$2</f>
        <v>milscm_2023_007</v>
      </c>
    </row>
    <row r="398" spans="2:23" ht="18.75" customHeight="1">
      <c r="C398" s="121"/>
      <c r="D398" s="122"/>
      <c r="E398" s="124"/>
      <c r="F398" s="37"/>
      <c r="G398" s="37"/>
      <c r="H398" s="37"/>
      <c r="I398" s="37"/>
      <c r="J398" s="37"/>
      <c r="K398" s="37"/>
      <c r="L398" s="37"/>
      <c r="M398" s="37"/>
      <c r="N398" s="37"/>
      <c r="O398" s="37"/>
      <c r="P398" s="37"/>
      <c r="Q398" s="37"/>
      <c r="R398" s="121"/>
      <c r="S398" s="122"/>
      <c r="T398" s="126"/>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27" t="str">
        <f>R406&amp;"登録"</f>
        <v>バックアップ_薬効ATC分類4マスタ登録</v>
      </c>
      <c r="D403" s="128"/>
      <c r="E403" s="128"/>
      <c r="F403" s="128"/>
      <c r="G403" s="128"/>
      <c r="H403" s="128"/>
      <c r="I403" s="128"/>
      <c r="J403" s="128"/>
      <c r="K403" s="128"/>
      <c r="L403" s="128"/>
      <c r="M403" s="128"/>
      <c r="N403" s="128"/>
      <c r="O403" s="128"/>
      <c r="P403" s="128"/>
      <c r="Q403" s="128"/>
      <c r="R403" s="128"/>
      <c r="S403" s="128"/>
      <c r="T403" s="128"/>
      <c r="U403" s="129"/>
      <c r="W403" s="35" t="str">
        <f>"-- "&amp;C403</f>
        <v>-- バックアップ_薬効ATC分類4マスタ登録</v>
      </c>
    </row>
    <row r="404" spans="2:23" ht="18.75" customHeight="1">
      <c r="B404" s="43" t="s">
        <v>159</v>
      </c>
      <c r="C404" s="116" t="str">
        <f>C406&amp;"テーブルのレコードを"&amp;R406&amp;"テーブルに格納する。"</f>
        <v>薬効ATC分類4マスタテーブルのレコードをバックアップ_薬効ATC分類4マスタテーブルに格納する。</v>
      </c>
      <c r="D404" s="117"/>
      <c r="E404" s="117"/>
      <c r="F404" s="117"/>
      <c r="G404" s="117"/>
      <c r="H404" s="117"/>
      <c r="I404" s="117"/>
      <c r="J404" s="117"/>
      <c r="K404" s="117"/>
      <c r="L404" s="117"/>
      <c r="M404" s="117"/>
      <c r="N404" s="117"/>
      <c r="O404" s="117"/>
      <c r="P404" s="117"/>
      <c r="Q404" s="117"/>
      <c r="R404" s="117"/>
      <c r="S404" s="117"/>
      <c r="T404" s="117"/>
      <c r="U404" s="118"/>
      <c r="W404" s="35" t="str">
        <f>"-- "&amp;C404</f>
        <v>-- 薬効ATC分類4マスタテーブルのレコードをバックアップ_薬効ATC分類4マスタテーブルに格納する。</v>
      </c>
    </row>
    <row r="406" spans="2:23" ht="18.75" customHeight="1">
      <c r="C406" s="119" t="s">
        <v>3562</v>
      </c>
      <c r="D406" s="120"/>
      <c r="E406" s="123" t="s">
        <v>162</v>
      </c>
      <c r="F406" s="36"/>
      <c r="G406" s="36"/>
      <c r="H406" s="36"/>
      <c r="I406" s="36"/>
      <c r="J406" s="36"/>
      <c r="K406" s="36"/>
      <c r="L406" s="36"/>
      <c r="M406" s="36"/>
      <c r="N406" s="36"/>
      <c r="O406" s="36"/>
      <c r="P406" s="36"/>
      <c r="Q406" s="36"/>
      <c r="R406" s="119" t="str">
        <f>"バックアップ_"&amp;SUBSTITUTE(C406,"_結合","")</f>
        <v>バックアップ_薬効ATC分類4マスタ</v>
      </c>
      <c r="S406" s="120"/>
      <c r="T406" s="125" t="str">
        <f>エンティティ一覧!$O$2</f>
        <v>milscm_2023_007</v>
      </c>
    </row>
    <row r="407" spans="2:23" ht="18.75" customHeight="1">
      <c r="C407" s="121"/>
      <c r="D407" s="122"/>
      <c r="E407" s="124"/>
      <c r="F407" s="37"/>
      <c r="G407" s="37"/>
      <c r="H407" s="37"/>
      <c r="I407" s="37"/>
      <c r="J407" s="37"/>
      <c r="K407" s="37"/>
      <c r="L407" s="37"/>
      <c r="M407" s="37"/>
      <c r="N407" s="37"/>
      <c r="O407" s="37"/>
      <c r="P407" s="37"/>
      <c r="Q407" s="37"/>
      <c r="R407" s="121"/>
      <c r="S407" s="122"/>
      <c r="T407" s="126"/>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27" t="str">
        <f>R415&amp;"登録"</f>
        <v>バックアップ_薬効ATC分類5マスタ登録</v>
      </c>
      <c r="D412" s="128"/>
      <c r="E412" s="128"/>
      <c r="F412" s="128"/>
      <c r="G412" s="128"/>
      <c r="H412" s="128"/>
      <c r="I412" s="128"/>
      <c r="J412" s="128"/>
      <c r="K412" s="128"/>
      <c r="L412" s="128"/>
      <c r="M412" s="128"/>
      <c r="N412" s="128"/>
      <c r="O412" s="128"/>
      <c r="P412" s="128"/>
      <c r="Q412" s="128"/>
      <c r="R412" s="128"/>
      <c r="S412" s="128"/>
      <c r="T412" s="128"/>
      <c r="U412" s="129"/>
      <c r="W412" s="35" t="str">
        <f>"-- "&amp;C412</f>
        <v>-- バックアップ_薬効ATC分類5マスタ登録</v>
      </c>
    </row>
    <row r="413" spans="2:23" ht="18.75" customHeight="1">
      <c r="B413" s="43" t="s">
        <v>159</v>
      </c>
      <c r="C413" s="116" t="str">
        <f>C415&amp;"テーブルのレコードを"&amp;R415&amp;"テーブルに格納する。"</f>
        <v>薬効ATC分類5マスタテーブルのレコードをバックアップ_薬効ATC分類5マスタテーブルに格納する。</v>
      </c>
      <c r="D413" s="117"/>
      <c r="E413" s="117"/>
      <c r="F413" s="117"/>
      <c r="G413" s="117"/>
      <c r="H413" s="117"/>
      <c r="I413" s="117"/>
      <c r="J413" s="117"/>
      <c r="K413" s="117"/>
      <c r="L413" s="117"/>
      <c r="M413" s="117"/>
      <c r="N413" s="117"/>
      <c r="O413" s="117"/>
      <c r="P413" s="117"/>
      <c r="Q413" s="117"/>
      <c r="R413" s="117"/>
      <c r="S413" s="117"/>
      <c r="T413" s="117"/>
      <c r="U413" s="118"/>
      <c r="W413" s="35" t="str">
        <f>"-- "&amp;C413</f>
        <v>-- 薬効ATC分類5マスタテーブルのレコードをバックアップ_薬効ATC分類5マスタテーブルに格納する。</v>
      </c>
    </row>
    <row r="415" spans="2:23" ht="18.75" customHeight="1">
      <c r="C415" s="119" t="s">
        <v>3564</v>
      </c>
      <c r="D415" s="120"/>
      <c r="E415" s="123" t="s">
        <v>162</v>
      </c>
      <c r="F415" s="36"/>
      <c r="G415" s="36"/>
      <c r="H415" s="36"/>
      <c r="I415" s="36"/>
      <c r="J415" s="36"/>
      <c r="K415" s="36"/>
      <c r="L415" s="36"/>
      <c r="M415" s="36"/>
      <c r="N415" s="36"/>
      <c r="O415" s="36"/>
      <c r="P415" s="36"/>
      <c r="Q415" s="36"/>
      <c r="R415" s="119" t="str">
        <f>"バックアップ_"&amp;SUBSTITUTE(C415,"_結合","")</f>
        <v>バックアップ_薬効ATC分類5マスタ</v>
      </c>
      <c r="S415" s="120"/>
      <c r="T415" s="125" t="str">
        <f>エンティティ一覧!$O$2</f>
        <v>milscm_2023_007</v>
      </c>
    </row>
    <row r="416" spans="2:23" ht="18.75" customHeight="1">
      <c r="C416" s="121"/>
      <c r="D416" s="122"/>
      <c r="E416" s="124"/>
      <c r="F416" s="37"/>
      <c r="G416" s="37"/>
      <c r="H416" s="37"/>
      <c r="I416" s="37"/>
      <c r="J416" s="37"/>
      <c r="K416" s="37"/>
      <c r="L416" s="37"/>
      <c r="M416" s="37"/>
      <c r="N416" s="37"/>
      <c r="O416" s="37"/>
      <c r="P416" s="37"/>
      <c r="Q416" s="37"/>
      <c r="R416" s="121"/>
      <c r="S416" s="122"/>
      <c r="T416" s="126"/>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27" t="str">
        <f>R424&amp;"登録"</f>
        <v>バックアップ_疾病マスタ登録</v>
      </c>
      <c r="D421" s="128"/>
      <c r="E421" s="128"/>
      <c r="F421" s="128"/>
      <c r="G421" s="128"/>
      <c r="H421" s="128"/>
      <c r="I421" s="128"/>
      <c r="J421" s="128"/>
      <c r="K421" s="128"/>
      <c r="L421" s="128"/>
      <c r="M421" s="128"/>
      <c r="N421" s="128"/>
      <c r="O421" s="128"/>
      <c r="P421" s="128"/>
      <c r="Q421" s="128"/>
      <c r="R421" s="128"/>
      <c r="S421" s="128"/>
      <c r="T421" s="128"/>
      <c r="U421" s="129"/>
      <c r="W421" s="35" t="str">
        <f>"-- "&amp;C421</f>
        <v>-- バックアップ_疾病マスタ登録</v>
      </c>
    </row>
    <row r="422" spans="2:23" ht="18.75" customHeight="1">
      <c r="B422" s="43" t="s">
        <v>159</v>
      </c>
      <c r="C422" s="116" t="str">
        <f>C424&amp;"テーブルのレコードを"&amp;R424&amp;"テーブルに格納する。"</f>
        <v>疾病マスタテーブルのレコードをバックアップ_疾病マスタテーブルに格納する。</v>
      </c>
      <c r="D422" s="117"/>
      <c r="E422" s="117"/>
      <c r="F422" s="117"/>
      <c r="G422" s="117"/>
      <c r="H422" s="117"/>
      <c r="I422" s="117"/>
      <c r="J422" s="117"/>
      <c r="K422" s="117"/>
      <c r="L422" s="117"/>
      <c r="M422" s="117"/>
      <c r="N422" s="117"/>
      <c r="O422" s="117"/>
      <c r="P422" s="117"/>
      <c r="Q422" s="117"/>
      <c r="R422" s="117"/>
      <c r="S422" s="117"/>
      <c r="T422" s="117"/>
      <c r="U422" s="118"/>
      <c r="W422" s="35" t="str">
        <f>"-- "&amp;C422</f>
        <v>-- 疾病マスタテーブルのレコードをバックアップ_疾病マスタテーブルに格納する。</v>
      </c>
    </row>
    <row r="424" spans="2:23" ht="18.75" customHeight="1">
      <c r="C424" s="119" t="s">
        <v>3566</v>
      </c>
      <c r="D424" s="120"/>
      <c r="E424" s="123" t="s">
        <v>162</v>
      </c>
      <c r="F424" s="36"/>
      <c r="G424" s="36"/>
      <c r="H424" s="36"/>
      <c r="I424" s="36"/>
      <c r="J424" s="36"/>
      <c r="K424" s="36"/>
      <c r="L424" s="36"/>
      <c r="M424" s="36"/>
      <c r="N424" s="36"/>
      <c r="O424" s="36"/>
      <c r="P424" s="36"/>
      <c r="Q424" s="36"/>
      <c r="R424" s="119" t="str">
        <f>"バックアップ_"&amp;SUBSTITUTE(C424,"_結合","")</f>
        <v>バックアップ_疾病マスタ</v>
      </c>
      <c r="S424" s="120"/>
      <c r="T424" s="125" t="str">
        <f>エンティティ一覧!$O$2</f>
        <v>milscm_2023_007</v>
      </c>
    </row>
    <row r="425" spans="2:23" ht="18.75" customHeight="1">
      <c r="C425" s="121"/>
      <c r="D425" s="122"/>
      <c r="E425" s="124"/>
      <c r="F425" s="37"/>
      <c r="G425" s="37"/>
      <c r="H425" s="37"/>
      <c r="I425" s="37"/>
      <c r="J425" s="37"/>
      <c r="K425" s="37"/>
      <c r="L425" s="37"/>
      <c r="M425" s="37"/>
      <c r="N425" s="37"/>
      <c r="O425" s="37"/>
      <c r="P425" s="37"/>
      <c r="Q425" s="37"/>
      <c r="R425" s="121"/>
      <c r="S425" s="122"/>
      <c r="T425" s="126"/>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27" t="str">
        <f>R433&amp;"登録"</f>
        <v>バックアップ_ICD10大分類マスタ登録</v>
      </c>
      <c r="D430" s="128"/>
      <c r="E430" s="128"/>
      <c r="F430" s="128"/>
      <c r="G430" s="128"/>
      <c r="H430" s="128"/>
      <c r="I430" s="128"/>
      <c r="J430" s="128"/>
      <c r="K430" s="128"/>
      <c r="L430" s="128"/>
      <c r="M430" s="128"/>
      <c r="N430" s="128"/>
      <c r="O430" s="128"/>
      <c r="P430" s="128"/>
      <c r="Q430" s="128"/>
      <c r="R430" s="128"/>
      <c r="S430" s="128"/>
      <c r="T430" s="128"/>
      <c r="U430" s="129"/>
      <c r="W430" s="35" t="str">
        <f>"-- "&amp;C430</f>
        <v>-- バックアップ_ICD10大分類マスタ登録</v>
      </c>
    </row>
    <row r="431" spans="2:23" ht="18.75" customHeight="1">
      <c r="B431" s="43" t="s">
        <v>159</v>
      </c>
      <c r="C431" s="116" t="str">
        <f>C433&amp;"テーブルのレコードを"&amp;R433&amp;"テーブルに格納する。"</f>
        <v>ICD10大分類マスタテーブルのレコードをバックアップ_ICD10大分類マスタテーブルに格納する。</v>
      </c>
      <c r="D431" s="117"/>
      <c r="E431" s="117"/>
      <c r="F431" s="117"/>
      <c r="G431" s="117"/>
      <c r="H431" s="117"/>
      <c r="I431" s="117"/>
      <c r="J431" s="117"/>
      <c r="K431" s="117"/>
      <c r="L431" s="117"/>
      <c r="M431" s="117"/>
      <c r="N431" s="117"/>
      <c r="O431" s="117"/>
      <c r="P431" s="117"/>
      <c r="Q431" s="117"/>
      <c r="R431" s="117"/>
      <c r="S431" s="117"/>
      <c r="T431" s="117"/>
      <c r="U431" s="118"/>
      <c r="W431" s="35" t="str">
        <f>"-- "&amp;C431</f>
        <v>-- ICD10大分類マスタテーブルのレコードをバックアップ_ICD10大分類マスタテーブルに格納する。</v>
      </c>
    </row>
    <row r="433" spans="2:23" ht="18.75" customHeight="1">
      <c r="C433" s="119" t="s">
        <v>3568</v>
      </c>
      <c r="D433" s="120"/>
      <c r="E433" s="123" t="s">
        <v>162</v>
      </c>
      <c r="F433" s="36"/>
      <c r="G433" s="36"/>
      <c r="H433" s="36"/>
      <c r="I433" s="36"/>
      <c r="J433" s="36"/>
      <c r="K433" s="36"/>
      <c r="L433" s="36"/>
      <c r="M433" s="36"/>
      <c r="N433" s="36"/>
      <c r="O433" s="36"/>
      <c r="P433" s="36"/>
      <c r="Q433" s="36"/>
      <c r="R433" s="119" t="str">
        <f>"バックアップ_"&amp;SUBSTITUTE(C433,"_結合","")</f>
        <v>バックアップ_ICD10大分類マスタ</v>
      </c>
      <c r="S433" s="120"/>
      <c r="T433" s="125" t="str">
        <f>エンティティ一覧!$O$2</f>
        <v>milscm_2023_007</v>
      </c>
    </row>
    <row r="434" spans="2:23" ht="18.75" customHeight="1">
      <c r="C434" s="121"/>
      <c r="D434" s="122"/>
      <c r="E434" s="124"/>
      <c r="F434" s="37"/>
      <c r="G434" s="37"/>
      <c r="H434" s="37"/>
      <c r="I434" s="37"/>
      <c r="J434" s="37"/>
      <c r="K434" s="37"/>
      <c r="L434" s="37"/>
      <c r="M434" s="37"/>
      <c r="N434" s="37"/>
      <c r="O434" s="37"/>
      <c r="P434" s="37"/>
      <c r="Q434" s="37"/>
      <c r="R434" s="121"/>
      <c r="S434" s="122"/>
      <c r="T434" s="126"/>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27" t="str">
        <f>R442&amp;"登録"</f>
        <v>バックアップ_ICD10中分類マスタ登録</v>
      </c>
      <c r="D439" s="128"/>
      <c r="E439" s="128"/>
      <c r="F439" s="128"/>
      <c r="G439" s="128"/>
      <c r="H439" s="128"/>
      <c r="I439" s="128"/>
      <c r="J439" s="128"/>
      <c r="K439" s="128"/>
      <c r="L439" s="128"/>
      <c r="M439" s="128"/>
      <c r="N439" s="128"/>
      <c r="O439" s="128"/>
      <c r="P439" s="128"/>
      <c r="Q439" s="128"/>
      <c r="R439" s="128"/>
      <c r="S439" s="128"/>
      <c r="T439" s="128"/>
      <c r="U439" s="129"/>
      <c r="W439" s="35" t="str">
        <f>"-- "&amp;C439</f>
        <v>-- バックアップ_ICD10中分類マスタ登録</v>
      </c>
    </row>
    <row r="440" spans="2:23" ht="18.75" customHeight="1">
      <c r="B440" s="43" t="s">
        <v>159</v>
      </c>
      <c r="C440" s="116" t="str">
        <f>C442&amp;"テーブルのレコードを"&amp;R442&amp;"テーブルに格納する。"</f>
        <v>ICD10中分類マスタテーブルのレコードをバックアップ_ICD10中分類マスタテーブルに格納する。</v>
      </c>
      <c r="D440" s="117"/>
      <c r="E440" s="117"/>
      <c r="F440" s="117"/>
      <c r="G440" s="117"/>
      <c r="H440" s="117"/>
      <c r="I440" s="117"/>
      <c r="J440" s="117"/>
      <c r="K440" s="117"/>
      <c r="L440" s="117"/>
      <c r="M440" s="117"/>
      <c r="N440" s="117"/>
      <c r="O440" s="117"/>
      <c r="P440" s="117"/>
      <c r="Q440" s="117"/>
      <c r="R440" s="117"/>
      <c r="S440" s="117"/>
      <c r="T440" s="117"/>
      <c r="U440" s="118"/>
      <c r="W440" s="35" t="str">
        <f>"-- "&amp;C440</f>
        <v>-- ICD10中分類マスタテーブルのレコードをバックアップ_ICD10中分類マスタテーブルに格納する。</v>
      </c>
    </row>
    <row r="442" spans="2:23" ht="18.75" customHeight="1">
      <c r="C442" s="119" t="s">
        <v>3570</v>
      </c>
      <c r="D442" s="120"/>
      <c r="E442" s="123" t="s">
        <v>162</v>
      </c>
      <c r="F442" s="36"/>
      <c r="G442" s="36"/>
      <c r="H442" s="36"/>
      <c r="I442" s="36"/>
      <c r="J442" s="36"/>
      <c r="K442" s="36"/>
      <c r="L442" s="36"/>
      <c r="M442" s="36"/>
      <c r="N442" s="36"/>
      <c r="O442" s="36"/>
      <c r="P442" s="36"/>
      <c r="Q442" s="36"/>
      <c r="R442" s="119" t="str">
        <f>"バックアップ_"&amp;SUBSTITUTE(C442,"_結合","")</f>
        <v>バックアップ_ICD10中分類マスタ</v>
      </c>
      <c r="S442" s="120"/>
      <c r="T442" s="125" t="str">
        <f>エンティティ一覧!$O$2</f>
        <v>milscm_2023_007</v>
      </c>
    </row>
    <row r="443" spans="2:23" ht="18.75" customHeight="1">
      <c r="C443" s="121"/>
      <c r="D443" s="122"/>
      <c r="E443" s="124"/>
      <c r="F443" s="37"/>
      <c r="G443" s="37"/>
      <c r="H443" s="37"/>
      <c r="I443" s="37"/>
      <c r="J443" s="37"/>
      <c r="K443" s="37"/>
      <c r="L443" s="37"/>
      <c r="M443" s="37"/>
      <c r="N443" s="37"/>
      <c r="O443" s="37"/>
      <c r="P443" s="37"/>
      <c r="Q443" s="37"/>
      <c r="R443" s="121"/>
      <c r="S443" s="122"/>
      <c r="T443" s="126"/>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27" t="str">
        <f>R451&amp;"登録"</f>
        <v>バックアップ_ICD10小分類マスタ登録</v>
      </c>
      <c r="D448" s="128"/>
      <c r="E448" s="128"/>
      <c r="F448" s="128"/>
      <c r="G448" s="128"/>
      <c r="H448" s="128"/>
      <c r="I448" s="128"/>
      <c r="J448" s="128"/>
      <c r="K448" s="128"/>
      <c r="L448" s="128"/>
      <c r="M448" s="128"/>
      <c r="N448" s="128"/>
      <c r="O448" s="128"/>
      <c r="P448" s="128"/>
      <c r="Q448" s="128"/>
      <c r="R448" s="128"/>
      <c r="S448" s="128"/>
      <c r="T448" s="128"/>
      <c r="U448" s="129"/>
      <c r="W448" s="35" t="str">
        <f>"-- "&amp;C448</f>
        <v>-- バックアップ_ICD10小分類マスタ登録</v>
      </c>
    </row>
    <row r="449" spans="2:23" ht="18.75" customHeight="1">
      <c r="B449" s="43" t="s">
        <v>159</v>
      </c>
      <c r="C449" s="116" t="str">
        <f>C451&amp;"テーブルのレコードを"&amp;R451&amp;"テーブルに格納する。"</f>
        <v>ICD10小分類マスタテーブルのレコードをバックアップ_ICD10小分類マスタテーブルに格納する。</v>
      </c>
      <c r="D449" s="117"/>
      <c r="E449" s="117"/>
      <c r="F449" s="117"/>
      <c r="G449" s="117"/>
      <c r="H449" s="117"/>
      <c r="I449" s="117"/>
      <c r="J449" s="117"/>
      <c r="K449" s="117"/>
      <c r="L449" s="117"/>
      <c r="M449" s="117"/>
      <c r="N449" s="117"/>
      <c r="O449" s="117"/>
      <c r="P449" s="117"/>
      <c r="Q449" s="117"/>
      <c r="R449" s="117"/>
      <c r="S449" s="117"/>
      <c r="T449" s="117"/>
      <c r="U449" s="118"/>
      <c r="W449" s="35" t="str">
        <f>"-- "&amp;C449</f>
        <v>-- ICD10小分類マスタテーブルのレコードをバックアップ_ICD10小分類マスタテーブルに格納する。</v>
      </c>
    </row>
    <row r="451" spans="2:23" ht="18.75" customHeight="1">
      <c r="C451" s="119" t="s">
        <v>3572</v>
      </c>
      <c r="D451" s="120"/>
      <c r="E451" s="123" t="s">
        <v>162</v>
      </c>
      <c r="F451" s="36"/>
      <c r="G451" s="36"/>
      <c r="H451" s="36"/>
      <c r="I451" s="36"/>
      <c r="J451" s="36"/>
      <c r="K451" s="36"/>
      <c r="L451" s="36"/>
      <c r="M451" s="36"/>
      <c r="N451" s="36"/>
      <c r="O451" s="36"/>
      <c r="P451" s="36"/>
      <c r="Q451" s="36"/>
      <c r="R451" s="119" t="str">
        <f>"バックアップ_"&amp;SUBSTITUTE(C451,"_結合","")</f>
        <v>バックアップ_ICD10小分類マスタ</v>
      </c>
      <c r="S451" s="120"/>
      <c r="T451" s="125" t="str">
        <f>エンティティ一覧!$O$2</f>
        <v>milscm_2023_007</v>
      </c>
    </row>
    <row r="452" spans="2:23" ht="18.75" customHeight="1">
      <c r="C452" s="121"/>
      <c r="D452" s="122"/>
      <c r="E452" s="124"/>
      <c r="F452" s="37"/>
      <c r="G452" s="37"/>
      <c r="H452" s="37"/>
      <c r="I452" s="37"/>
      <c r="J452" s="37"/>
      <c r="K452" s="37"/>
      <c r="L452" s="37"/>
      <c r="M452" s="37"/>
      <c r="N452" s="37"/>
      <c r="O452" s="37"/>
      <c r="P452" s="37"/>
      <c r="Q452" s="37"/>
      <c r="R452" s="121"/>
      <c r="S452" s="122"/>
      <c r="T452" s="126"/>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27" t="str">
        <f>R460&amp;"登録"</f>
        <v>バックアップ_ICD10細分類マスタ登録</v>
      </c>
      <c r="D457" s="128"/>
      <c r="E457" s="128"/>
      <c r="F457" s="128"/>
      <c r="G457" s="128"/>
      <c r="H457" s="128"/>
      <c r="I457" s="128"/>
      <c r="J457" s="128"/>
      <c r="K457" s="128"/>
      <c r="L457" s="128"/>
      <c r="M457" s="128"/>
      <c r="N457" s="128"/>
      <c r="O457" s="128"/>
      <c r="P457" s="128"/>
      <c r="Q457" s="128"/>
      <c r="R457" s="128"/>
      <c r="S457" s="128"/>
      <c r="T457" s="128"/>
      <c r="U457" s="129"/>
      <c r="W457" s="35" t="str">
        <f>"-- "&amp;C457</f>
        <v>-- バックアップ_ICD10細分類マスタ登録</v>
      </c>
    </row>
    <row r="458" spans="2:23" ht="18.75" customHeight="1">
      <c r="B458" s="43" t="s">
        <v>159</v>
      </c>
      <c r="C458" s="116" t="str">
        <f>C460&amp;"テーブルのレコードを"&amp;R460&amp;"テーブルに格納する。"</f>
        <v>ICD10細分類マスタテーブルのレコードをバックアップ_ICD10細分類マスタテーブルに格納する。</v>
      </c>
      <c r="D458" s="117"/>
      <c r="E458" s="117"/>
      <c r="F458" s="117"/>
      <c r="G458" s="117"/>
      <c r="H458" s="117"/>
      <c r="I458" s="117"/>
      <c r="J458" s="117"/>
      <c r="K458" s="117"/>
      <c r="L458" s="117"/>
      <c r="M458" s="117"/>
      <c r="N458" s="117"/>
      <c r="O458" s="117"/>
      <c r="P458" s="117"/>
      <c r="Q458" s="117"/>
      <c r="R458" s="117"/>
      <c r="S458" s="117"/>
      <c r="T458" s="117"/>
      <c r="U458" s="118"/>
      <c r="W458" s="35" t="str">
        <f>"-- "&amp;C458</f>
        <v>-- ICD10細分類マスタテーブルのレコードをバックアップ_ICD10細分類マスタテーブルに格納する。</v>
      </c>
    </row>
    <row r="460" spans="2:23" ht="18.75" customHeight="1">
      <c r="C460" s="119" t="s">
        <v>3574</v>
      </c>
      <c r="D460" s="120"/>
      <c r="E460" s="123" t="s">
        <v>162</v>
      </c>
      <c r="F460" s="36"/>
      <c r="G460" s="36"/>
      <c r="H460" s="36"/>
      <c r="I460" s="36"/>
      <c r="J460" s="36"/>
      <c r="K460" s="36"/>
      <c r="L460" s="36"/>
      <c r="M460" s="36"/>
      <c r="N460" s="36"/>
      <c r="O460" s="36"/>
      <c r="P460" s="36"/>
      <c r="Q460" s="36"/>
      <c r="R460" s="119" t="str">
        <f>"バックアップ_"&amp;SUBSTITUTE(C460,"_結合","")</f>
        <v>バックアップ_ICD10細分類マスタ</v>
      </c>
      <c r="S460" s="120"/>
      <c r="T460" s="125" t="str">
        <f>エンティティ一覧!$O$2</f>
        <v>milscm_2023_007</v>
      </c>
    </row>
    <row r="461" spans="2:23" ht="18.75" customHeight="1">
      <c r="C461" s="121"/>
      <c r="D461" s="122"/>
      <c r="E461" s="124"/>
      <c r="F461" s="37"/>
      <c r="G461" s="37"/>
      <c r="H461" s="37"/>
      <c r="I461" s="37"/>
      <c r="J461" s="37"/>
      <c r="K461" s="37"/>
      <c r="L461" s="37"/>
      <c r="M461" s="37"/>
      <c r="N461" s="37"/>
      <c r="O461" s="37"/>
      <c r="P461" s="37"/>
      <c r="Q461" s="37"/>
      <c r="R461" s="121"/>
      <c r="S461" s="122"/>
      <c r="T461" s="126"/>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27" t="str">
        <f>R469&amp;"登録"</f>
        <v>バックアップ_DPC2桁マスタ登録</v>
      </c>
      <c r="D466" s="128"/>
      <c r="E466" s="128"/>
      <c r="F466" s="128"/>
      <c r="G466" s="128"/>
      <c r="H466" s="128"/>
      <c r="I466" s="128"/>
      <c r="J466" s="128"/>
      <c r="K466" s="128"/>
      <c r="L466" s="128"/>
      <c r="M466" s="128"/>
      <c r="N466" s="128"/>
      <c r="O466" s="128"/>
      <c r="P466" s="128"/>
      <c r="Q466" s="128"/>
      <c r="R466" s="128"/>
      <c r="S466" s="128"/>
      <c r="T466" s="128"/>
      <c r="U466" s="129"/>
      <c r="W466" s="35" t="str">
        <f>"-- "&amp;C466</f>
        <v>-- バックアップ_DPC2桁マスタ登録</v>
      </c>
    </row>
    <row r="467" spans="2:23" ht="18.75" customHeight="1">
      <c r="B467" s="43" t="s">
        <v>159</v>
      </c>
      <c r="C467" s="116" t="str">
        <f>C469&amp;"テーブルのレコードを"&amp;R469&amp;"テーブルに格納する。"</f>
        <v>DPC2桁マスタテーブルのレコードをバックアップ_DPC2桁マスタテーブルに格納する。</v>
      </c>
      <c r="D467" s="117"/>
      <c r="E467" s="117"/>
      <c r="F467" s="117"/>
      <c r="G467" s="117"/>
      <c r="H467" s="117"/>
      <c r="I467" s="117"/>
      <c r="J467" s="117"/>
      <c r="K467" s="117"/>
      <c r="L467" s="117"/>
      <c r="M467" s="117"/>
      <c r="N467" s="117"/>
      <c r="O467" s="117"/>
      <c r="P467" s="117"/>
      <c r="Q467" s="117"/>
      <c r="R467" s="117"/>
      <c r="S467" s="117"/>
      <c r="T467" s="117"/>
      <c r="U467" s="118"/>
      <c r="W467" s="35" t="str">
        <f>"-- "&amp;C467</f>
        <v>-- DPC2桁マスタテーブルのレコードをバックアップ_DPC2桁マスタテーブルに格納する。</v>
      </c>
    </row>
    <row r="469" spans="2:23" ht="18.75" customHeight="1">
      <c r="C469" s="119" t="s">
        <v>3576</v>
      </c>
      <c r="D469" s="120"/>
      <c r="E469" s="123" t="s">
        <v>162</v>
      </c>
      <c r="F469" s="36"/>
      <c r="G469" s="36"/>
      <c r="H469" s="36"/>
      <c r="I469" s="36"/>
      <c r="J469" s="36"/>
      <c r="K469" s="36"/>
      <c r="L469" s="36"/>
      <c r="M469" s="36"/>
      <c r="N469" s="36"/>
      <c r="O469" s="36"/>
      <c r="P469" s="36"/>
      <c r="Q469" s="36"/>
      <c r="R469" s="119" t="str">
        <f>"バックアップ_"&amp;SUBSTITUTE(C469,"_結合","")</f>
        <v>バックアップ_DPC2桁マスタ</v>
      </c>
      <c r="S469" s="120"/>
      <c r="T469" s="125" t="str">
        <f>エンティティ一覧!$O$2</f>
        <v>milscm_2023_007</v>
      </c>
    </row>
    <row r="470" spans="2:23" ht="18.75" customHeight="1">
      <c r="C470" s="121"/>
      <c r="D470" s="122"/>
      <c r="E470" s="124"/>
      <c r="F470" s="37"/>
      <c r="G470" s="37"/>
      <c r="H470" s="37"/>
      <c r="I470" s="37"/>
      <c r="J470" s="37"/>
      <c r="K470" s="37"/>
      <c r="L470" s="37"/>
      <c r="M470" s="37"/>
      <c r="N470" s="37"/>
      <c r="O470" s="37"/>
      <c r="P470" s="37"/>
      <c r="Q470" s="37"/>
      <c r="R470" s="121"/>
      <c r="S470" s="122"/>
      <c r="T470" s="126"/>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27" t="str">
        <f>R478&amp;"登録"</f>
        <v>バックアップ_DPC6桁マスタ登録</v>
      </c>
      <c r="D475" s="128"/>
      <c r="E475" s="128"/>
      <c r="F475" s="128"/>
      <c r="G475" s="128"/>
      <c r="H475" s="128"/>
      <c r="I475" s="128"/>
      <c r="J475" s="128"/>
      <c r="K475" s="128"/>
      <c r="L475" s="128"/>
      <c r="M475" s="128"/>
      <c r="N475" s="128"/>
      <c r="O475" s="128"/>
      <c r="P475" s="128"/>
      <c r="Q475" s="128"/>
      <c r="R475" s="128"/>
      <c r="S475" s="128"/>
      <c r="T475" s="128"/>
      <c r="U475" s="129"/>
      <c r="W475" s="35" t="str">
        <f>"-- "&amp;C475</f>
        <v>-- バックアップ_DPC6桁マスタ登録</v>
      </c>
    </row>
    <row r="476" spans="2:23" ht="18.75" customHeight="1">
      <c r="B476" s="43" t="s">
        <v>159</v>
      </c>
      <c r="C476" s="116" t="str">
        <f>C478&amp;"テーブルのレコードを"&amp;R478&amp;"テーブルに格納する。"</f>
        <v>DPC6桁マスタテーブルのレコードをバックアップ_DPC6桁マスタテーブルに格納する。</v>
      </c>
      <c r="D476" s="117"/>
      <c r="E476" s="117"/>
      <c r="F476" s="117"/>
      <c r="G476" s="117"/>
      <c r="H476" s="117"/>
      <c r="I476" s="117"/>
      <c r="J476" s="117"/>
      <c r="K476" s="117"/>
      <c r="L476" s="117"/>
      <c r="M476" s="117"/>
      <c r="N476" s="117"/>
      <c r="O476" s="117"/>
      <c r="P476" s="117"/>
      <c r="Q476" s="117"/>
      <c r="R476" s="117"/>
      <c r="S476" s="117"/>
      <c r="T476" s="117"/>
      <c r="U476" s="118"/>
      <c r="W476" s="35" t="str">
        <f>"-- "&amp;C476</f>
        <v>-- DPC6桁マスタテーブルのレコードをバックアップ_DPC6桁マスタテーブルに格納する。</v>
      </c>
    </row>
    <row r="478" spans="2:23" ht="18.75" customHeight="1">
      <c r="C478" s="119" t="s">
        <v>3578</v>
      </c>
      <c r="D478" s="120"/>
      <c r="E478" s="123" t="s">
        <v>162</v>
      </c>
      <c r="F478" s="36"/>
      <c r="G478" s="36"/>
      <c r="H478" s="36"/>
      <c r="I478" s="36"/>
      <c r="J478" s="36"/>
      <c r="K478" s="36"/>
      <c r="L478" s="36"/>
      <c r="M478" s="36"/>
      <c r="N478" s="36"/>
      <c r="O478" s="36"/>
      <c r="P478" s="36"/>
      <c r="Q478" s="36"/>
      <c r="R478" s="119" t="str">
        <f>"バックアップ_"&amp;SUBSTITUTE(C478,"_結合","")</f>
        <v>バックアップ_DPC6桁マスタ</v>
      </c>
      <c r="S478" s="120"/>
      <c r="T478" s="125" t="str">
        <f>エンティティ一覧!$O$2</f>
        <v>milscm_2023_007</v>
      </c>
    </row>
    <row r="479" spans="2:23" ht="18.75" customHeight="1">
      <c r="C479" s="121"/>
      <c r="D479" s="122"/>
      <c r="E479" s="124"/>
      <c r="F479" s="37"/>
      <c r="G479" s="37"/>
      <c r="H479" s="37"/>
      <c r="I479" s="37"/>
      <c r="J479" s="37"/>
      <c r="K479" s="37"/>
      <c r="L479" s="37"/>
      <c r="M479" s="37"/>
      <c r="N479" s="37"/>
      <c r="O479" s="37"/>
      <c r="P479" s="37"/>
      <c r="Q479" s="37"/>
      <c r="R479" s="121"/>
      <c r="S479" s="122"/>
      <c r="T479" s="126"/>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27" t="str">
        <f>R487&amp;"登録"</f>
        <v>バックアップ_郵便番号マスタ登録</v>
      </c>
      <c r="D484" s="128"/>
      <c r="E484" s="128"/>
      <c r="F484" s="128"/>
      <c r="G484" s="128"/>
      <c r="H484" s="128"/>
      <c r="I484" s="128"/>
      <c r="J484" s="128"/>
      <c r="K484" s="128"/>
      <c r="L484" s="128"/>
      <c r="M484" s="128"/>
      <c r="N484" s="128"/>
      <c r="O484" s="128"/>
      <c r="P484" s="128"/>
      <c r="Q484" s="128"/>
      <c r="R484" s="128"/>
      <c r="S484" s="128"/>
      <c r="T484" s="128"/>
      <c r="U484" s="129"/>
      <c r="W484" s="35" t="str">
        <f>"-- "&amp;C484</f>
        <v>-- バックアップ_郵便番号マスタ登録</v>
      </c>
    </row>
    <row r="485" spans="2:23" ht="18.75" customHeight="1">
      <c r="B485" s="43" t="s">
        <v>159</v>
      </c>
      <c r="C485" s="116" t="str">
        <f>C487&amp;"テーブルのレコードを"&amp;R487&amp;"テーブルに格納する。"</f>
        <v>郵便番号マスタテーブルのレコードをバックアップ_郵便番号マスタテーブルに格納する。</v>
      </c>
      <c r="D485" s="117"/>
      <c r="E485" s="117"/>
      <c r="F485" s="117"/>
      <c r="G485" s="117"/>
      <c r="H485" s="117"/>
      <c r="I485" s="117"/>
      <c r="J485" s="117"/>
      <c r="K485" s="117"/>
      <c r="L485" s="117"/>
      <c r="M485" s="117"/>
      <c r="N485" s="117"/>
      <c r="O485" s="117"/>
      <c r="P485" s="117"/>
      <c r="Q485" s="117"/>
      <c r="R485" s="117"/>
      <c r="S485" s="117"/>
      <c r="T485" s="117"/>
      <c r="U485" s="118"/>
      <c r="W485" s="35" t="str">
        <f>"-- "&amp;C485</f>
        <v>-- 郵便番号マスタテーブルのレコードをバックアップ_郵便番号マスタテーブルに格納する。</v>
      </c>
    </row>
    <row r="487" spans="2:23" ht="18.75" customHeight="1">
      <c r="C487" s="119" t="s">
        <v>3580</v>
      </c>
      <c r="D487" s="120"/>
      <c r="E487" s="123" t="s">
        <v>162</v>
      </c>
      <c r="F487" s="36"/>
      <c r="G487" s="36"/>
      <c r="H487" s="36"/>
      <c r="I487" s="36"/>
      <c r="J487" s="36"/>
      <c r="K487" s="36"/>
      <c r="L487" s="36"/>
      <c r="M487" s="36"/>
      <c r="N487" s="36"/>
      <c r="O487" s="36"/>
      <c r="P487" s="36"/>
      <c r="Q487" s="36"/>
      <c r="R487" s="119" t="str">
        <f>"バックアップ_"&amp;SUBSTITUTE(C487,"_結合","")</f>
        <v>バックアップ_郵便番号マスタ</v>
      </c>
      <c r="S487" s="120"/>
      <c r="T487" s="125" t="str">
        <f>エンティティ一覧!$O$2</f>
        <v>milscm_2023_007</v>
      </c>
    </row>
    <row r="488" spans="2:23" ht="18.75" customHeight="1">
      <c r="C488" s="121"/>
      <c r="D488" s="122"/>
      <c r="E488" s="124"/>
      <c r="F488" s="37"/>
      <c r="G488" s="37"/>
      <c r="H488" s="37"/>
      <c r="I488" s="37"/>
      <c r="J488" s="37"/>
      <c r="K488" s="37"/>
      <c r="L488" s="37"/>
      <c r="M488" s="37"/>
      <c r="N488" s="37"/>
      <c r="O488" s="37"/>
      <c r="P488" s="37"/>
      <c r="Q488" s="37"/>
      <c r="R488" s="121"/>
      <c r="S488" s="122"/>
      <c r="T488" s="126"/>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27" t="str">
        <f>R496&amp;"登録"</f>
        <v>バックアップ_特定機材マスタ登録</v>
      </c>
      <c r="D493" s="128"/>
      <c r="E493" s="128"/>
      <c r="F493" s="128"/>
      <c r="G493" s="128"/>
      <c r="H493" s="128"/>
      <c r="I493" s="128"/>
      <c r="J493" s="128"/>
      <c r="K493" s="128"/>
      <c r="L493" s="128"/>
      <c r="M493" s="128"/>
      <c r="N493" s="128"/>
      <c r="O493" s="128"/>
      <c r="P493" s="128"/>
      <c r="Q493" s="128"/>
      <c r="R493" s="128"/>
      <c r="S493" s="128"/>
      <c r="T493" s="128"/>
      <c r="U493" s="129"/>
      <c r="W493" s="35" t="str">
        <f>"-- "&amp;C493</f>
        <v>-- バックアップ_特定機材マスタ登録</v>
      </c>
    </row>
    <row r="494" spans="2:23" ht="18.75" customHeight="1">
      <c r="B494" s="43" t="s">
        <v>159</v>
      </c>
      <c r="C494" s="116" t="str">
        <f>C496&amp;"テーブルのレコードを"&amp;R496&amp;"テーブルに格納する。"</f>
        <v>特定機材マスタテーブルのレコードをバックアップ_特定機材マスタテーブルに格納する。</v>
      </c>
      <c r="D494" s="117"/>
      <c r="E494" s="117"/>
      <c r="F494" s="117"/>
      <c r="G494" s="117"/>
      <c r="H494" s="117"/>
      <c r="I494" s="117"/>
      <c r="J494" s="117"/>
      <c r="K494" s="117"/>
      <c r="L494" s="117"/>
      <c r="M494" s="117"/>
      <c r="N494" s="117"/>
      <c r="O494" s="117"/>
      <c r="P494" s="117"/>
      <c r="Q494" s="117"/>
      <c r="R494" s="117"/>
      <c r="S494" s="117"/>
      <c r="T494" s="117"/>
      <c r="U494" s="118"/>
      <c r="W494" s="35" t="str">
        <f>"-- "&amp;C494</f>
        <v>-- 特定機材マスタテーブルのレコードをバックアップ_特定機材マスタテーブルに格納する。</v>
      </c>
    </row>
    <row r="496" spans="2:23" ht="18.75" customHeight="1">
      <c r="C496" s="119" t="s">
        <v>3582</v>
      </c>
      <c r="D496" s="120"/>
      <c r="E496" s="123" t="s">
        <v>162</v>
      </c>
      <c r="F496" s="36"/>
      <c r="G496" s="36"/>
      <c r="H496" s="36"/>
      <c r="I496" s="36"/>
      <c r="J496" s="36"/>
      <c r="K496" s="36"/>
      <c r="L496" s="36"/>
      <c r="M496" s="36"/>
      <c r="N496" s="36"/>
      <c r="O496" s="36"/>
      <c r="P496" s="36"/>
      <c r="Q496" s="36"/>
      <c r="R496" s="119" t="str">
        <f>"バックアップ_"&amp;SUBSTITUTE(C496,"_結合","")</f>
        <v>バックアップ_特定機材マスタ</v>
      </c>
      <c r="S496" s="120"/>
      <c r="T496" s="125" t="str">
        <f>エンティティ一覧!$O$2</f>
        <v>milscm_2023_007</v>
      </c>
    </row>
    <row r="497" spans="2:23" ht="18.75" customHeight="1">
      <c r="C497" s="121"/>
      <c r="D497" s="122"/>
      <c r="E497" s="124"/>
      <c r="F497" s="37"/>
      <c r="G497" s="37"/>
      <c r="H497" s="37"/>
      <c r="I497" s="37"/>
      <c r="J497" s="37"/>
      <c r="K497" s="37"/>
      <c r="L497" s="37"/>
      <c r="M497" s="37"/>
      <c r="N497" s="37"/>
      <c r="O497" s="37"/>
      <c r="P497" s="37"/>
      <c r="Q497" s="37"/>
      <c r="R497" s="121"/>
      <c r="S497" s="122"/>
      <c r="T497" s="126"/>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27" t="str">
        <f>R505&amp;"登録"</f>
        <v>バックアップ_年度マスタ登録</v>
      </c>
      <c r="D502" s="128"/>
      <c r="E502" s="128"/>
      <c r="F502" s="128"/>
      <c r="G502" s="128"/>
      <c r="H502" s="128"/>
      <c r="I502" s="128"/>
      <c r="J502" s="128"/>
      <c r="K502" s="128"/>
      <c r="L502" s="128"/>
      <c r="M502" s="128"/>
      <c r="N502" s="128"/>
      <c r="O502" s="128"/>
      <c r="P502" s="128"/>
      <c r="Q502" s="128"/>
      <c r="R502" s="128"/>
      <c r="S502" s="128"/>
      <c r="T502" s="128"/>
      <c r="U502" s="129"/>
      <c r="W502" s="35" t="str">
        <f>"-- "&amp;C502</f>
        <v>-- バックアップ_年度マスタ登録</v>
      </c>
    </row>
    <row r="503" spans="2:23" ht="18.75" customHeight="1">
      <c r="B503" s="43" t="s">
        <v>159</v>
      </c>
      <c r="C503" s="116" t="str">
        <f>C505&amp;"テーブルのレコードを"&amp;R505&amp;"テーブルに格納する。"</f>
        <v>年度マスタテーブルのレコードをバックアップ_年度マスタテーブルに格納する。</v>
      </c>
      <c r="D503" s="117"/>
      <c r="E503" s="117"/>
      <c r="F503" s="117"/>
      <c r="G503" s="117"/>
      <c r="H503" s="117"/>
      <c r="I503" s="117"/>
      <c r="J503" s="117"/>
      <c r="K503" s="117"/>
      <c r="L503" s="117"/>
      <c r="M503" s="117"/>
      <c r="N503" s="117"/>
      <c r="O503" s="117"/>
      <c r="P503" s="117"/>
      <c r="Q503" s="117"/>
      <c r="R503" s="117"/>
      <c r="S503" s="117"/>
      <c r="T503" s="117"/>
      <c r="U503" s="118"/>
      <c r="W503" s="35" t="str">
        <f>"-- "&amp;C503</f>
        <v>-- 年度マスタテーブルのレコードをバックアップ_年度マスタテーブルに格納する。</v>
      </c>
    </row>
    <row r="505" spans="2:23" ht="18.75" customHeight="1">
      <c r="C505" s="119" t="s">
        <v>3584</v>
      </c>
      <c r="D505" s="120"/>
      <c r="E505" s="123" t="s">
        <v>162</v>
      </c>
      <c r="F505" s="36"/>
      <c r="G505" s="36"/>
      <c r="H505" s="36"/>
      <c r="I505" s="36"/>
      <c r="J505" s="36"/>
      <c r="K505" s="36"/>
      <c r="L505" s="36"/>
      <c r="M505" s="36"/>
      <c r="N505" s="36"/>
      <c r="O505" s="36"/>
      <c r="P505" s="36"/>
      <c r="Q505" s="36"/>
      <c r="R505" s="119" t="str">
        <f>"バックアップ_"&amp;SUBSTITUTE(C505,"_結合","")</f>
        <v>バックアップ_年度マスタ</v>
      </c>
      <c r="S505" s="120"/>
      <c r="T505" s="125" t="str">
        <f>エンティティ一覧!$O$2</f>
        <v>milscm_2023_007</v>
      </c>
    </row>
    <row r="506" spans="2:23" ht="18.75" customHeight="1">
      <c r="C506" s="121"/>
      <c r="D506" s="122"/>
      <c r="E506" s="124"/>
      <c r="F506" s="37"/>
      <c r="G506" s="37"/>
      <c r="H506" s="37"/>
      <c r="I506" s="37"/>
      <c r="J506" s="37"/>
      <c r="K506" s="37"/>
      <c r="L506" s="37"/>
      <c r="M506" s="37"/>
      <c r="N506" s="37"/>
      <c r="O506" s="37"/>
      <c r="P506" s="37"/>
      <c r="Q506" s="37"/>
      <c r="R506" s="121"/>
      <c r="S506" s="122"/>
      <c r="T506" s="126"/>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27" t="str">
        <f>R514&amp;"登録"</f>
        <v>バックアップ_都道府県地方コードマスタ登録</v>
      </c>
      <c r="D511" s="128"/>
      <c r="E511" s="128"/>
      <c r="F511" s="128"/>
      <c r="G511" s="128"/>
      <c r="H511" s="128"/>
      <c r="I511" s="128"/>
      <c r="J511" s="128"/>
      <c r="K511" s="128"/>
      <c r="L511" s="128"/>
      <c r="M511" s="128"/>
      <c r="N511" s="128"/>
      <c r="O511" s="128"/>
      <c r="P511" s="128"/>
      <c r="Q511" s="128"/>
      <c r="R511" s="128"/>
      <c r="S511" s="128"/>
      <c r="T511" s="128"/>
      <c r="U511" s="129"/>
      <c r="W511" s="35" t="str">
        <f>"-- "&amp;C511</f>
        <v>-- バックアップ_都道府県地方コードマスタ登録</v>
      </c>
    </row>
    <row r="512" spans="2:23" ht="18.75" customHeight="1">
      <c r="B512" s="43" t="s">
        <v>159</v>
      </c>
      <c r="C512" s="116" t="str">
        <f>C514&amp;"テーブルのレコードを"&amp;R514&amp;"テーブルに格納する。"</f>
        <v>都道府県地方コードマスタテーブルのレコードをバックアップ_都道府県地方コードマスタテーブルに格納する。</v>
      </c>
      <c r="D512" s="117"/>
      <c r="E512" s="117"/>
      <c r="F512" s="117"/>
      <c r="G512" s="117"/>
      <c r="H512" s="117"/>
      <c r="I512" s="117"/>
      <c r="J512" s="117"/>
      <c r="K512" s="117"/>
      <c r="L512" s="117"/>
      <c r="M512" s="117"/>
      <c r="N512" s="117"/>
      <c r="O512" s="117"/>
      <c r="P512" s="117"/>
      <c r="Q512" s="117"/>
      <c r="R512" s="117"/>
      <c r="S512" s="117"/>
      <c r="T512" s="117"/>
      <c r="U512" s="118"/>
      <c r="W512" s="35" t="str">
        <f>"-- "&amp;C512</f>
        <v>-- 都道府県地方コードマスタテーブルのレコードをバックアップ_都道府県地方コードマスタテーブルに格納する。</v>
      </c>
    </row>
    <row r="514" spans="2:23" ht="18.75" customHeight="1">
      <c r="C514" s="119" t="s">
        <v>3586</v>
      </c>
      <c r="D514" s="120"/>
      <c r="E514" s="123" t="s">
        <v>162</v>
      </c>
      <c r="F514" s="36"/>
      <c r="G514" s="36"/>
      <c r="H514" s="36"/>
      <c r="I514" s="36"/>
      <c r="J514" s="36"/>
      <c r="K514" s="36"/>
      <c r="L514" s="36"/>
      <c r="M514" s="36"/>
      <c r="N514" s="36"/>
      <c r="O514" s="36"/>
      <c r="P514" s="36"/>
      <c r="Q514" s="36"/>
      <c r="R514" s="119" t="str">
        <f>"バックアップ_"&amp;SUBSTITUTE(C514,"_結合","")</f>
        <v>バックアップ_都道府県地方コードマスタ</v>
      </c>
      <c r="S514" s="120"/>
      <c r="T514" s="125" t="str">
        <f>エンティティ一覧!$O$2</f>
        <v>milscm_2023_007</v>
      </c>
    </row>
    <row r="515" spans="2:23" ht="18.75" customHeight="1">
      <c r="C515" s="121"/>
      <c r="D515" s="122"/>
      <c r="E515" s="124"/>
      <c r="F515" s="37"/>
      <c r="G515" s="37"/>
      <c r="H515" s="37"/>
      <c r="I515" s="37"/>
      <c r="J515" s="37"/>
      <c r="K515" s="37"/>
      <c r="L515" s="37"/>
      <c r="M515" s="37"/>
      <c r="N515" s="37"/>
      <c r="O515" s="37"/>
      <c r="P515" s="37"/>
      <c r="Q515" s="37"/>
      <c r="R515" s="121"/>
      <c r="S515" s="122"/>
      <c r="T515" s="126"/>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27" t="str">
        <f>R523&amp;"登録"</f>
        <v>バックアップ_施設属性マスタ登録</v>
      </c>
      <c r="D520" s="128"/>
      <c r="E520" s="128"/>
      <c r="F520" s="128"/>
      <c r="G520" s="128"/>
      <c r="H520" s="128"/>
      <c r="I520" s="128"/>
      <c r="J520" s="128"/>
      <c r="K520" s="128"/>
      <c r="L520" s="128"/>
      <c r="M520" s="128"/>
      <c r="N520" s="128"/>
      <c r="O520" s="128"/>
      <c r="P520" s="128"/>
      <c r="Q520" s="128"/>
      <c r="R520" s="128"/>
      <c r="S520" s="128"/>
      <c r="T520" s="128"/>
      <c r="U520" s="129"/>
      <c r="W520" s="35" t="str">
        <f>"-- "&amp;C520</f>
        <v>-- バックアップ_施設属性マスタ登録</v>
      </c>
    </row>
    <row r="521" spans="2:23" ht="18.75" customHeight="1">
      <c r="B521" s="43" t="s">
        <v>159</v>
      </c>
      <c r="C521" s="116" t="str">
        <f>C523&amp;"テーブルのレコードを"&amp;R523&amp;"テーブルに格納する。"</f>
        <v>施設属性マスタテーブルのレコードをバックアップ_施設属性マスタテーブルに格納する。</v>
      </c>
      <c r="D521" s="117"/>
      <c r="E521" s="117"/>
      <c r="F521" s="117"/>
      <c r="G521" s="117"/>
      <c r="H521" s="117"/>
      <c r="I521" s="117"/>
      <c r="J521" s="117"/>
      <c r="K521" s="117"/>
      <c r="L521" s="117"/>
      <c r="M521" s="117"/>
      <c r="N521" s="117"/>
      <c r="O521" s="117"/>
      <c r="P521" s="117"/>
      <c r="Q521" s="117"/>
      <c r="R521" s="117"/>
      <c r="S521" s="117"/>
      <c r="T521" s="117"/>
      <c r="U521" s="118"/>
      <c r="W521" s="35" t="str">
        <f>"-- "&amp;C521</f>
        <v>-- 施設属性マスタテーブルのレコードをバックアップ_施設属性マスタテーブルに格納する。</v>
      </c>
    </row>
    <row r="523" spans="2:23" ht="18.75" customHeight="1">
      <c r="C523" s="119" t="s">
        <v>3588</v>
      </c>
      <c r="D523" s="120"/>
      <c r="E523" s="123" t="s">
        <v>162</v>
      </c>
      <c r="F523" s="36"/>
      <c r="G523" s="36"/>
      <c r="H523" s="36"/>
      <c r="I523" s="36"/>
      <c r="J523" s="36"/>
      <c r="K523" s="36"/>
      <c r="L523" s="36"/>
      <c r="M523" s="36"/>
      <c r="N523" s="36"/>
      <c r="O523" s="36"/>
      <c r="P523" s="36"/>
      <c r="Q523" s="36"/>
      <c r="R523" s="119" t="str">
        <f>"バックアップ_"&amp;SUBSTITUTE(C523,"_結合","")</f>
        <v>バックアップ_施設属性マスタ</v>
      </c>
      <c r="S523" s="120"/>
      <c r="T523" s="125" t="str">
        <f>エンティティ一覧!$O$2</f>
        <v>milscm_2023_007</v>
      </c>
    </row>
    <row r="524" spans="2:23" ht="18.75" customHeight="1">
      <c r="C524" s="121"/>
      <c r="D524" s="122"/>
      <c r="E524" s="124"/>
      <c r="F524" s="37"/>
      <c r="G524" s="37"/>
      <c r="H524" s="37"/>
      <c r="I524" s="37"/>
      <c r="J524" s="37"/>
      <c r="K524" s="37"/>
      <c r="L524" s="37"/>
      <c r="M524" s="37"/>
      <c r="N524" s="37"/>
      <c r="O524" s="37"/>
      <c r="P524" s="37"/>
      <c r="Q524" s="37"/>
      <c r="R524" s="121"/>
      <c r="S524" s="122"/>
      <c r="T524" s="126"/>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27" t="str">
        <f>R532&amp;"登録"</f>
        <v>バックアップ_二次医療圏マスタ登録</v>
      </c>
      <c r="D529" s="128"/>
      <c r="E529" s="128"/>
      <c r="F529" s="128"/>
      <c r="G529" s="128"/>
      <c r="H529" s="128"/>
      <c r="I529" s="128"/>
      <c r="J529" s="128"/>
      <c r="K529" s="128"/>
      <c r="L529" s="128"/>
      <c r="M529" s="128"/>
      <c r="N529" s="128"/>
      <c r="O529" s="128"/>
      <c r="P529" s="128"/>
      <c r="Q529" s="128"/>
      <c r="R529" s="128"/>
      <c r="S529" s="128"/>
      <c r="T529" s="128"/>
      <c r="U529" s="129"/>
      <c r="W529" s="35" t="str">
        <f>"-- "&amp;C529</f>
        <v>-- バックアップ_二次医療圏マスタ登録</v>
      </c>
    </row>
    <row r="530" spans="2:23" ht="18.75" customHeight="1">
      <c r="B530" s="43" t="s">
        <v>159</v>
      </c>
      <c r="C530" s="116" t="str">
        <f>C532&amp;"テーブルのレコードを"&amp;R532&amp;"テーブルに格納する。"</f>
        <v>二次医療圏マスタテーブルのレコードをバックアップ_二次医療圏マスタテーブルに格納する。</v>
      </c>
      <c r="D530" s="117"/>
      <c r="E530" s="117"/>
      <c r="F530" s="117"/>
      <c r="G530" s="117"/>
      <c r="H530" s="117"/>
      <c r="I530" s="117"/>
      <c r="J530" s="117"/>
      <c r="K530" s="117"/>
      <c r="L530" s="117"/>
      <c r="M530" s="117"/>
      <c r="N530" s="117"/>
      <c r="O530" s="117"/>
      <c r="P530" s="117"/>
      <c r="Q530" s="117"/>
      <c r="R530" s="117"/>
      <c r="S530" s="117"/>
      <c r="T530" s="117"/>
      <c r="U530" s="118"/>
      <c r="W530" s="35" t="str">
        <f>"-- "&amp;C530</f>
        <v>-- 二次医療圏マスタテーブルのレコードをバックアップ_二次医療圏マスタテーブルに格納する。</v>
      </c>
    </row>
    <row r="532" spans="2:23" ht="18.75" customHeight="1">
      <c r="C532" s="119" t="s">
        <v>3590</v>
      </c>
      <c r="D532" s="120"/>
      <c r="E532" s="123" t="s">
        <v>162</v>
      </c>
      <c r="F532" s="36"/>
      <c r="G532" s="36"/>
      <c r="H532" s="36"/>
      <c r="I532" s="36"/>
      <c r="J532" s="36"/>
      <c r="K532" s="36"/>
      <c r="L532" s="36"/>
      <c r="M532" s="36"/>
      <c r="N532" s="36"/>
      <c r="O532" s="36"/>
      <c r="P532" s="36"/>
      <c r="Q532" s="36"/>
      <c r="R532" s="119" t="str">
        <f>"バックアップ_"&amp;SUBSTITUTE(C532,"_結合","")</f>
        <v>バックアップ_二次医療圏マスタ</v>
      </c>
      <c r="S532" s="120"/>
      <c r="T532" s="125" t="str">
        <f>エンティティ一覧!$O$2</f>
        <v>milscm_2023_007</v>
      </c>
    </row>
    <row r="533" spans="2:23" ht="18.75" customHeight="1">
      <c r="C533" s="121"/>
      <c r="D533" s="122"/>
      <c r="E533" s="124"/>
      <c r="F533" s="37"/>
      <c r="G533" s="37"/>
      <c r="H533" s="37"/>
      <c r="I533" s="37"/>
      <c r="J533" s="37"/>
      <c r="K533" s="37"/>
      <c r="L533" s="37"/>
      <c r="M533" s="37"/>
      <c r="N533" s="37"/>
      <c r="O533" s="37"/>
      <c r="P533" s="37"/>
      <c r="Q533" s="37"/>
      <c r="R533" s="121"/>
      <c r="S533" s="122"/>
      <c r="T533" s="126"/>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27" t="str">
        <f>R541&amp;"登録"</f>
        <v>バックアップ_施設ID対応マスタ登録</v>
      </c>
      <c r="D538" s="128"/>
      <c r="E538" s="128"/>
      <c r="F538" s="128"/>
      <c r="G538" s="128"/>
      <c r="H538" s="128"/>
      <c r="I538" s="128"/>
      <c r="J538" s="128"/>
      <c r="K538" s="128"/>
      <c r="L538" s="128"/>
      <c r="M538" s="128"/>
      <c r="N538" s="128"/>
      <c r="O538" s="128"/>
      <c r="P538" s="128"/>
      <c r="Q538" s="128"/>
      <c r="R538" s="128"/>
      <c r="S538" s="128"/>
      <c r="T538" s="128"/>
      <c r="U538" s="129"/>
      <c r="W538" s="35" t="str">
        <f>"-- "&amp;C538</f>
        <v>-- バックアップ_施設ID対応マスタ登録</v>
      </c>
    </row>
    <row r="539" spans="2:23" ht="18.75" customHeight="1">
      <c r="B539" s="43" t="s">
        <v>159</v>
      </c>
      <c r="C539" s="116" t="str">
        <f>C541&amp;"テーブルのレコードを"&amp;R541&amp;"テーブルに格納する。"</f>
        <v>施設ID対応マスタテーブルのレコードをバックアップ_施設ID対応マスタテーブルに格納する。</v>
      </c>
      <c r="D539" s="117"/>
      <c r="E539" s="117"/>
      <c r="F539" s="117"/>
      <c r="G539" s="117"/>
      <c r="H539" s="117"/>
      <c r="I539" s="117"/>
      <c r="J539" s="117"/>
      <c r="K539" s="117"/>
      <c r="L539" s="117"/>
      <c r="M539" s="117"/>
      <c r="N539" s="117"/>
      <c r="O539" s="117"/>
      <c r="P539" s="117"/>
      <c r="Q539" s="117"/>
      <c r="R539" s="117"/>
      <c r="S539" s="117"/>
      <c r="T539" s="117"/>
      <c r="U539" s="118"/>
      <c r="W539" s="35" t="str">
        <f>"-- "&amp;C539</f>
        <v>-- 施設ID対応マスタテーブルのレコードをバックアップ_施設ID対応マスタテーブルに格納する。</v>
      </c>
    </row>
    <row r="541" spans="2:23" ht="18.75" customHeight="1">
      <c r="C541" s="119" t="s">
        <v>3592</v>
      </c>
      <c r="D541" s="120"/>
      <c r="E541" s="123" t="s">
        <v>162</v>
      </c>
      <c r="F541" s="36"/>
      <c r="G541" s="36"/>
      <c r="H541" s="36"/>
      <c r="I541" s="36"/>
      <c r="J541" s="36"/>
      <c r="K541" s="36"/>
      <c r="L541" s="36"/>
      <c r="M541" s="36"/>
      <c r="N541" s="36"/>
      <c r="O541" s="36"/>
      <c r="P541" s="36"/>
      <c r="Q541" s="36"/>
      <c r="R541" s="119" t="str">
        <f>"バックアップ_"&amp;SUBSTITUTE(C541,"_結合","")</f>
        <v>バックアップ_施設ID対応マスタ</v>
      </c>
      <c r="S541" s="120"/>
      <c r="T541" s="125" t="str">
        <f>エンティティ一覧!$O$2</f>
        <v>milscm_2023_007</v>
      </c>
    </row>
    <row r="542" spans="2:23" ht="18.75" customHeight="1">
      <c r="C542" s="121"/>
      <c r="D542" s="122"/>
      <c r="E542" s="124"/>
      <c r="F542" s="37"/>
      <c r="G542" s="37"/>
      <c r="H542" s="37"/>
      <c r="I542" s="37"/>
      <c r="J542" s="37"/>
      <c r="K542" s="37"/>
      <c r="L542" s="37"/>
      <c r="M542" s="37"/>
      <c r="N542" s="37"/>
      <c r="O542" s="37"/>
      <c r="P542" s="37"/>
      <c r="Q542" s="37"/>
      <c r="R542" s="121"/>
      <c r="S542" s="122"/>
      <c r="T542" s="126"/>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27" t="str">
        <f>R550&amp;"登録"</f>
        <v>バックアップ_医薬品関連マスタ登録</v>
      </c>
      <c r="D547" s="128"/>
      <c r="E547" s="128"/>
      <c r="F547" s="128"/>
      <c r="G547" s="128"/>
      <c r="H547" s="128"/>
      <c r="I547" s="128"/>
      <c r="J547" s="128"/>
      <c r="K547" s="128"/>
      <c r="L547" s="128"/>
      <c r="M547" s="128"/>
      <c r="N547" s="128"/>
      <c r="O547" s="128"/>
      <c r="P547" s="128"/>
      <c r="Q547" s="128"/>
      <c r="R547" s="128"/>
      <c r="S547" s="128"/>
      <c r="T547" s="128"/>
      <c r="U547" s="129"/>
      <c r="W547" s="35" t="str">
        <f>"-- "&amp;C547</f>
        <v>-- バックアップ_医薬品関連マスタ登録</v>
      </c>
    </row>
    <row r="548" spans="2:23" ht="18.75" customHeight="1">
      <c r="B548" s="43" t="s">
        <v>159</v>
      </c>
      <c r="C548" s="116" t="str">
        <f>C550&amp;"テーブルのレコードを"&amp;R550&amp;"テーブルに格納する。"</f>
        <v>医薬品関連マスタテーブルのレコードをバックアップ_医薬品関連マスタテーブルに格納する。</v>
      </c>
      <c r="D548" s="117"/>
      <c r="E548" s="117"/>
      <c r="F548" s="117"/>
      <c r="G548" s="117"/>
      <c r="H548" s="117"/>
      <c r="I548" s="117"/>
      <c r="J548" s="117"/>
      <c r="K548" s="117"/>
      <c r="L548" s="117"/>
      <c r="M548" s="117"/>
      <c r="N548" s="117"/>
      <c r="O548" s="117"/>
      <c r="P548" s="117"/>
      <c r="Q548" s="117"/>
      <c r="R548" s="117"/>
      <c r="S548" s="117"/>
      <c r="T548" s="117"/>
      <c r="U548" s="118"/>
      <c r="W548" s="35" t="str">
        <f>"-- "&amp;C548</f>
        <v>-- 医薬品関連マスタテーブルのレコードをバックアップ_医薬品関連マスタテーブルに格納する。</v>
      </c>
    </row>
    <row r="550" spans="2:23" ht="18.75" customHeight="1">
      <c r="C550" s="119" t="s">
        <v>3594</v>
      </c>
      <c r="D550" s="120"/>
      <c r="E550" s="123" t="s">
        <v>162</v>
      </c>
      <c r="F550" s="36"/>
      <c r="G550" s="36"/>
      <c r="H550" s="36"/>
      <c r="I550" s="36"/>
      <c r="J550" s="36"/>
      <c r="K550" s="36"/>
      <c r="L550" s="36"/>
      <c r="M550" s="36"/>
      <c r="N550" s="36"/>
      <c r="O550" s="36"/>
      <c r="P550" s="36"/>
      <c r="Q550" s="36"/>
      <c r="R550" s="119" t="str">
        <f>"バックアップ_"&amp;SUBSTITUTE(C550,"_結合","")</f>
        <v>バックアップ_医薬品関連マスタ</v>
      </c>
      <c r="S550" s="120"/>
      <c r="T550" s="125" t="str">
        <f>エンティティ一覧!$O$2</f>
        <v>milscm_2023_007</v>
      </c>
    </row>
    <row r="551" spans="2:23" ht="18.75" customHeight="1">
      <c r="C551" s="121"/>
      <c r="D551" s="122"/>
      <c r="E551" s="124"/>
      <c r="F551" s="37"/>
      <c r="G551" s="37"/>
      <c r="H551" s="37"/>
      <c r="I551" s="37"/>
      <c r="J551" s="37"/>
      <c r="K551" s="37"/>
      <c r="L551" s="37"/>
      <c r="M551" s="37"/>
      <c r="N551" s="37"/>
      <c r="O551" s="37"/>
      <c r="P551" s="37"/>
      <c r="Q551" s="37"/>
      <c r="R551" s="121"/>
      <c r="S551" s="122"/>
      <c r="T551" s="126"/>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27" t="str">
        <f>R559&amp;"登録"</f>
        <v>バックアップ_薬価関連マスタ登録</v>
      </c>
      <c r="D556" s="128"/>
      <c r="E556" s="128"/>
      <c r="F556" s="128"/>
      <c r="G556" s="128"/>
      <c r="H556" s="128"/>
      <c r="I556" s="128"/>
      <c r="J556" s="128"/>
      <c r="K556" s="128"/>
      <c r="L556" s="128"/>
      <c r="M556" s="128"/>
      <c r="N556" s="128"/>
      <c r="O556" s="128"/>
      <c r="P556" s="128"/>
      <c r="Q556" s="128"/>
      <c r="R556" s="128"/>
      <c r="S556" s="128"/>
      <c r="T556" s="128"/>
      <c r="U556" s="129"/>
      <c r="W556" s="35" t="str">
        <f>"-- "&amp;C556</f>
        <v>-- バックアップ_薬価関連マスタ登録</v>
      </c>
    </row>
    <row r="557" spans="2:23" ht="18.75" customHeight="1">
      <c r="B557" s="43" t="s">
        <v>159</v>
      </c>
      <c r="C557" s="116" t="str">
        <f>C559&amp;"テーブルのレコードを"&amp;R559&amp;"テーブルに格納する。"</f>
        <v>薬価関連マスタテーブルのレコードをバックアップ_薬価関連マスタテーブルに格納する。</v>
      </c>
      <c r="D557" s="117"/>
      <c r="E557" s="117"/>
      <c r="F557" s="117"/>
      <c r="G557" s="117"/>
      <c r="H557" s="117"/>
      <c r="I557" s="117"/>
      <c r="J557" s="117"/>
      <c r="K557" s="117"/>
      <c r="L557" s="117"/>
      <c r="M557" s="117"/>
      <c r="N557" s="117"/>
      <c r="O557" s="117"/>
      <c r="P557" s="117"/>
      <c r="Q557" s="117"/>
      <c r="R557" s="117"/>
      <c r="S557" s="117"/>
      <c r="T557" s="117"/>
      <c r="U557" s="118"/>
      <c r="W557" s="35" t="str">
        <f>"-- "&amp;C557</f>
        <v>-- 薬価関連マスタテーブルのレコードをバックアップ_薬価関連マスタテーブルに格納する。</v>
      </c>
    </row>
    <row r="559" spans="2:23" ht="18.75" customHeight="1">
      <c r="C559" s="119" t="s">
        <v>3596</v>
      </c>
      <c r="D559" s="120"/>
      <c r="E559" s="123" t="s">
        <v>162</v>
      </c>
      <c r="F559" s="36"/>
      <c r="G559" s="36"/>
      <c r="H559" s="36"/>
      <c r="I559" s="36"/>
      <c r="J559" s="36"/>
      <c r="K559" s="36"/>
      <c r="L559" s="36"/>
      <c r="M559" s="36"/>
      <c r="N559" s="36"/>
      <c r="O559" s="36"/>
      <c r="P559" s="36"/>
      <c r="Q559" s="36"/>
      <c r="R559" s="119" t="str">
        <f>"バックアップ_"&amp;SUBSTITUTE(C559,"_結合","")</f>
        <v>バックアップ_薬価関連マスタ</v>
      </c>
      <c r="S559" s="120"/>
      <c r="T559" s="125" t="str">
        <f>エンティティ一覧!$O$2</f>
        <v>milscm_2023_007</v>
      </c>
    </row>
    <row r="560" spans="2:23" ht="18.75" customHeight="1">
      <c r="C560" s="121"/>
      <c r="D560" s="122"/>
      <c r="E560" s="124"/>
      <c r="F560" s="37"/>
      <c r="G560" s="37"/>
      <c r="H560" s="37"/>
      <c r="I560" s="37"/>
      <c r="J560" s="37"/>
      <c r="K560" s="37"/>
      <c r="L560" s="37"/>
      <c r="M560" s="37"/>
      <c r="N560" s="37"/>
      <c r="O560" s="37"/>
      <c r="P560" s="37"/>
      <c r="Q560" s="37"/>
      <c r="R560" s="121"/>
      <c r="S560" s="122"/>
      <c r="T560" s="126"/>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27" t="str">
        <f>R568&amp;"登録"</f>
        <v>バックアップ_診療行為関連マスタ登録</v>
      </c>
      <c r="D565" s="128"/>
      <c r="E565" s="128"/>
      <c r="F565" s="128"/>
      <c r="G565" s="128"/>
      <c r="H565" s="128"/>
      <c r="I565" s="128"/>
      <c r="J565" s="128"/>
      <c r="K565" s="128"/>
      <c r="L565" s="128"/>
      <c r="M565" s="128"/>
      <c r="N565" s="128"/>
      <c r="O565" s="128"/>
      <c r="P565" s="128"/>
      <c r="Q565" s="128"/>
      <c r="R565" s="128"/>
      <c r="S565" s="128"/>
      <c r="T565" s="128"/>
      <c r="U565" s="129"/>
      <c r="W565" s="35" t="str">
        <f>"-- "&amp;C565</f>
        <v>-- バックアップ_診療行為関連マスタ登録</v>
      </c>
    </row>
    <row r="566" spans="2:23" ht="18.75" customHeight="1">
      <c r="B566" s="43" t="s">
        <v>159</v>
      </c>
      <c r="C566" s="116" t="str">
        <f>C568&amp;"テーブルのレコードを"&amp;R568&amp;"テーブルに格納する。"</f>
        <v>診療行為関連マスタテーブルのレコードをバックアップ_診療行為関連マスタテーブルに格納する。</v>
      </c>
      <c r="D566" s="117"/>
      <c r="E566" s="117"/>
      <c r="F566" s="117"/>
      <c r="G566" s="117"/>
      <c r="H566" s="117"/>
      <c r="I566" s="117"/>
      <c r="J566" s="117"/>
      <c r="K566" s="117"/>
      <c r="L566" s="117"/>
      <c r="M566" s="117"/>
      <c r="N566" s="117"/>
      <c r="O566" s="117"/>
      <c r="P566" s="117"/>
      <c r="Q566" s="117"/>
      <c r="R566" s="117"/>
      <c r="S566" s="117"/>
      <c r="T566" s="117"/>
      <c r="U566" s="118"/>
      <c r="W566" s="35" t="str">
        <f>"-- "&amp;C566</f>
        <v>-- 診療行為関連マスタテーブルのレコードをバックアップ_診療行為関連マスタテーブルに格納する。</v>
      </c>
    </row>
    <row r="568" spans="2:23" ht="18.75" customHeight="1">
      <c r="C568" s="119" t="s">
        <v>3598</v>
      </c>
      <c r="D568" s="120"/>
      <c r="E568" s="123" t="s">
        <v>162</v>
      </c>
      <c r="F568" s="36"/>
      <c r="G568" s="36"/>
      <c r="H568" s="36"/>
      <c r="I568" s="36"/>
      <c r="J568" s="36"/>
      <c r="K568" s="36"/>
      <c r="L568" s="36"/>
      <c r="M568" s="36"/>
      <c r="N568" s="36"/>
      <c r="O568" s="36"/>
      <c r="P568" s="36"/>
      <c r="Q568" s="36"/>
      <c r="R568" s="119" t="str">
        <f>"バックアップ_"&amp;SUBSTITUTE(C568,"_結合","")</f>
        <v>バックアップ_診療行為関連マスタ</v>
      </c>
      <c r="S568" s="120"/>
      <c r="T568" s="125" t="str">
        <f>エンティティ一覧!$O$2</f>
        <v>milscm_2023_007</v>
      </c>
    </row>
    <row r="569" spans="2:23" ht="18.75" customHeight="1">
      <c r="C569" s="121"/>
      <c r="D569" s="122"/>
      <c r="E569" s="124"/>
      <c r="F569" s="37"/>
      <c r="G569" s="37"/>
      <c r="H569" s="37"/>
      <c r="I569" s="37"/>
      <c r="J569" s="37"/>
      <c r="K569" s="37"/>
      <c r="L569" s="37"/>
      <c r="M569" s="37"/>
      <c r="N569" s="37"/>
      <c r="O569" s="37"/>
      <c r="P569" s="37"/>
      <c r="Q569" s="37"/>
      <c r="R569" s="121"/>
      <c r="S569" s="122"/>
      <c r="T569" s="126"/>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27" t="str">
        <f>R577&amp;"登録"</f>
        <v>バックアップ_特定器材関連マスタ登録</v>
      </c>
      <c r="D574" s="128"/>
      <c r="E574" s="128"/>
      <c r="F574" s="128"/>
      <c r="G574" s="128"/>
      <c r="H574" s="128"/>
      <c r="I574" s="128"/>
      <c r="J574" s="128"/>
      <c r="K574" s="128"/>
      <c r="L574" s="128"/>
      <c r="M574" s="128"/>
      <c r="N574" s="128"/>
      <c r="O574" s="128"/>
      <c r="P574" s="128"/>
      <c r="Q574" s="128"/>
      <c r="R574" s="128"/>
      <c r="S574" s="128"/>
      <c r="T574" s="128"/>
      <c r="U574" s="129"/>
      <c r="W574" s="35" t="str">
        <f>"-- "&amp;C574</f>
        <v>-- バックアップ_特定器材関連マスタ登録</v>
      </c>
    </row>
    <row r="575" spans="2:23" ht="18.75" customHeight="1">
      <c r="B575" s="43" t="s">
        <v>159</v>
      </c>
      <c r="C575" s="116" t="str">
        <f>C577&amp;"テーブルのレコードを"&amp;R577&amp;"テーブルに格納する。"</f>
        <v>特定器材関連マスタテーブルのレコードをバックアップ_特定器材関連マスタテーブルに格納する。</v>
      </c>
      <c r="D575" s="117"/>
      <c r="E575" s="117"/>
      <c r="F575" s="117"/>
      <c r="G575" s="117"/>
      <c r="H575" s="117"/>
      <c r="I575" s="117"/>
      <c r="J575" s="117"/>
      <c r="K575" s="117"/>
      <c r="L575" s="117"/>
      <c r="M575" s="117"/>
      <c r="N575" s="117"/>
      <c r="O575" s="117"/>
      <c r="P575" s="117"/>
      <c r="Q575" s="117"/>
      <c r="R575" s="117"/>
      <c r="S575" s="117"/>
      <c r="T575" s="117"/>
      <c r="U575" s="118"/>
      <c r="W575" s="35" t="str">
        <f>"-- "&amp;C575</f>
        <v>-- 特定器材関連マスタテーブルのレコードをバックアップ_特定器材関連マスタテーブルに格納する。</v>
      </c>
    </row>
    <row r="577" spans="2:23" ht="18.75" customHeight="1">
      <c r="C577" s="119" t="s">
        <v>3600</v>
      </c>
      <c r="D577" s="120"/>
      <c r="E577" s="123" t="s">
        <v>162</v>
      </c>
      <c r="F577" s="36"/>
      <c r="G577" s="36"/>
      <c r="H577" s="36"/>
      <c r="I577" s="36"/>
      <c r="J577" s="36"/>
      <c r="K577" s="36"/>
      <c r="L577" s="36"/>
      <c r="M577" s="36"/>
      <c r="N577" s="36"/>
      <c r="O577" s="36"/>
      <c r="P577" s="36"/>
      <c r="Q577" s="36"/>
      <c r="R577" s="119" t="str">
        <f>"バックアップ_"&amp;SUBSTITUTE(C577,"_結合","")</f>
        <v>バックアップ_特定器材関連マスタ</v>
      </c>
      <c r="S577" s="120"/>
      <c r="T577" s="125" t="str">
        <f>エンティティ一覧!$O$2</f>
        <v>milscm_2023_007</v>
      </c>
    </row>
    <row r="578" spans="2:23" ht="18.75" customHeight="1">
      <c r="C578" s="121"/>
      <c r="D578" s="122"/>
      <c r="E578" s="124"/>
      <c r="F578" s="37"/>
      <c r="G578" s="37"/>
      <c r="H578" s="37"/>
      <c r="I578" s="37"/>
      <c r="J578" s="37"/>
      <c r="K578" s="37"/>
      <c r="L578" s="37"/>
      <c r="M578" s="37"/>
      <c r="N578" s="37"/>
      <c r="O578" s="37"/>
      <c r="P578" s="37"/>
      <c r="Q578" s="37"/>
      <c r="R578" s="121"/>
      <c r="S578" s="122"/>
      <c r="T578" s="126"/>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27" t="str">
        <f>R586&amp;"登録"</f>
        <v>バックアップ_DPC関連マスタ登録</v>
      </c>
      <c r="D583" s="128"/>
      <c r="E583" s="128"/>
      <c r="F583" s="128"/>
      <c r="G583" s="128"/>
      <c r="H583" s="128"/>
      <c r="I583" s="128"/>
      <c r="J583" s="128"/>
      <c r="K583" s="128"/>
      <c r="L583" s="128"/>
      <c r="M583" s="128"/>
      <c r="N583" s="128"/>
      <c r="O583" s="128"/>
      <c r="P583" s="128"/>
      <c r="Q583" s="128"/>
      <c r="R583" s="128"/>
      <c r="S583" s="128"/>
      <c r="T583" s="128"/>
      <c r="U583" s="129"/>
      <c r="W583" s="35" t="str">
        <f>"-- "&amp;C583</f>
        <v>-- バックアップ_DPC関連マスタ登録</v>
      </c>
    </row>
    <row r="584" spans="2:23" ht="18.75" customHeight="1">
      <c r="B584" s="43" t="s">
        <v>159</v>
      </c>
      <c r="C584" s="116" t="str">
        <f>C586&amp;"テーブルのレコードを"&amp;R586&amp;"テーブルに格納する。"</f>
        <v>DPC関連マスタテーブルのレコードをバックアップ_DPC関連マスタテーブルに格納する。</v>
      </c>
      <c r="D584" s="117"/>
      <c r="E584" s="117"/>
      <c r="F584" s="117"/>
      <c r="G584" s="117"/>
      <c r="H584" s="117"/>
      <c r="I584" s="117"/>
      <c r="J584" s="117"/>
      <c r="K584" s="117"/>
      <c r="L584" s="117"/>
      <c r="M584" s="117"/>
      <c r="N584" s="117"/>
      <c r="O584" s="117"/>
      <c r="P584" s="117"/>
      <c r="Q584" s="117"/>
      <c r="R584" s="117"/>
      <c r="S584" s="117"/>
      <c r="T584" s="117"/>
      <c r="U584" s="118"/>
      <c r="W584" s="35" t="str">
        <f>"-- "&amp;C584</f>
        <v>-- DPC関連マスタテーブルのレコードをバックアップ_DPC関連マスタテーブルに格納する。</v>
      </c>
    </row>
    <row r="586" spans="2:23" ht="18.75" customHeight="1">
      <c r="C586" s="119" t="s">
        <v>3602</v>
      </c>
      <c r="D586" s="120"/>
      <c r="E586" s="123" t="s">
        <v>162</v>
      </c>
      <c r="F586" s="36"/>
      <c r="G586" s="36"/>
      <c r="H586" s="36"/>
      <c r="I586" s="36"/>
      <c r="J586" s="36"/>
      <c r="K586" s="36"/>
      <c r="L586" s="36"/>
      <c r="M586" s="36"/>
      <c r="N586" s="36"/>
      <c r="O586" s="36"/>
      <c r="P586" s="36"/>
      <c r="Q586" s="36"/>
      <c r="R586" s="119" t="str">
        <f>"バックアップ_"&amp;SUBSTITUTE(C586,"_結合","")</f>
        <v>バックアップ_DPC関連マスタ</v>
      </c>
      <c r="S586" s="120"/>
      <c r="T586" s="125" t="str">
        <f>エンティティ一覧!$O$2</f>
        <v>milscm_2023_007</v>
      </c>
    </row>
    <row r="587" spans="2:23" ht="18.75" customHeight="1">
      <c r="C587" s="121"/>
      <c r="D587" s="122"/>
      <c r="E587" s="124"/>
      <c r="F587" s="37"/>
      <c r="G587" s="37"/>
      <c r="H587" s="37"/>
      <c r="I587" s="37"/>
      <c r="J587" s="37"/>
      <c r="K587" s="37"/>
      <c r="L587" s="37"/>
      <c r="M587" s="37"/>
      <c r="N587" s="37"/>
      <c r="O587" s="37"/>
      <c r="P587" s="37"/>
      <c r="Q587" s="37"/>
      <c r="R587" s="121"/>
      <c r="S587" s="122"/>
      <c r="T587" s="126"/>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27" t="str">
        <f>R595&amp;"登録"</f>
        <v>バックアップ_疾患関連マスタ登録</v>
      </c>
      <c r="D592" s="128"/>
      <c r="E592" s="128"/>
      <c r="F592" s="128"/>
      <c r="G592" s="128"/>
      <c r="H592" s="128"/>
      <c r="I592" s="128"/>
      <c r="J592" s="128"/>
      <c r="K592" s="128"/>
      <c r="L592" s="128"/>
      <c r="M592" s="128"/>
      <c r="N592" s="128"/>
      <c r="O592" s="128"/>
      <c r="P592" s="128"/>
      <c r="Q592" s="128"/>
      <c r="R592" s="128"/>
      <c r="S592" s="128"/>
      <c r="T592" s="128"/>
      <c r="U592" s="129"/>
      <c r="W592" s="35" t="str">
        <f>"-- "&amp;C592</f>
        <v>-- バックアップ_疾患関連マスタ登録</v>
      </c>
    </row>
    <row r="593" spans="2:23" ht="18.75" customHeight="1">
      <c r="B593" s="43" t="s">
        <v>159</v>
      </c>
      <c r="C593" s="116" t="str">
        <f>C595&amp;"テーブルのレコードを"&amp;R595&amp;"テーブルに格納する。"</f>
        <v>疾患関連マスタテーブルのレコードをバックアップ_疾患関連マスタテーブルに格納する。</v>
      </c>
      <c r="D593" s="117"/>
      <c r="E593" s="117"/>
      <c r="F593" s="117"/>
      <c r="G593" s="117"/>
      <c r="H593" s="117"/>
      <c r="I593" s="117"/>
      <c r="J593" s="117"/>
      <c r="K593" s="117"/>
      <c r="L593" s="117"/>
      <c r="M593" s="117"/>
      <c r="N593" s="117"/>
      <c r="O593" s="117"/>
      <c r="P593" s="117"/>
      <c r="Q593" s="117"/>
      <c r="R593" s="117"/>
      <c r="S593" s="117"/>
      <c r="T593" s="117"/>
      <c r="U593" s="118"/>
      <c r="W593" s="35" t="str">
        <f>"-- "&amp;C593</f>
        <v>-- 疾患関連マスタテーブルのレコードをバックアップ_疾患関連マスタテーブルに格納する。</v>
      </c>
    </row>
    <row r="595" spans="2:23" ht="18.75" customHeight="1">
      <c r="C595" s="119" t="s">
        <v>3604</v>
      </c>
      <c r="D595" s="120"/>
      <c r="E595" s="123" t="s">
        <v>162</v>
      </c>
      <c r="F595" s="36"/>
      <c r="G595" s="36"/>
      <c r="H595" s="36"/>
      <c r="I595" s="36"/>
      <c r="J595" s="36"/>
      <c r="K595" s="36"/>
      <c r="L595" s="36"/>
      <c r="M595" s="36"/>
      <c r="N595" s="36"/>
      <c r="O595" s="36"/>
      <c r="P595" s="36"/>
      <c r="Q595" s="36"/>
      <c r="R595" s="119" t="str">
        <f>"バックアップ_"&amp;SUBSTITUTE(C595,"_結合","")</f>
        <v>バックアップ_疾患関連マスタ</v>
      </c>
      <c r="S595" s="120"/>
      <c r="T595" s="125" t="str">
        <f>エンティティ一覧!$O$2</f>
        <v>milscm_2023_007</v>
      </c>
    </row>
    <row r="596" spans="2:23" ht="18.75" customHeight="1">
      <c r="C596" s="121"/>
      <c r="D596" s="122"/>
      <c r="E596" s="124"/>
      <c r="F596" s="37"/>
      <c r="G596" s="37"/>
      <c r="H596" s="37"/>
      <c r="I596" s="37"/>
      <c r="J596" s="37"/>
      <c r="K596" s="37"/>
      <c r="L596" s="37"/>
      <c r="M596" s="37"/>
      <c r="N596" s="37"/>
      <c r="O596" s="37"/>
      <c r="P596" s="37"/>
      <c r="Q596" s="37"/>
      <c r="R596" s="121"/>
      <c r="S596" s="122"/>
      <c r="T596" s="126"/>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27" t="str">
        <f>R604&amp;"登録"</f>
        <v>バックアップ_医薬品成分関連マスタ登録</v>
      </c>
      <c r="D601" s="128"/>
      <c r="E601" s="128"/>
      <c r="F601" s="128"/>
      <c r="G601" s="128"/>
      <c r="H601" s="128"/>
      <c r="I601" s="128"/>
      <c r="J601" s="128"/>
      <c r="K601" s="128"/>
      <c r="L601" s="128"/>
      <c r="M601" s="128"/>
      <c r="N601" s="128"/>
      <c r="O601" s="128"/>
      <c r="P601" s="128"/>
      <c r="Q601" s="128"/>
      <c r="R601" s="128"/>
      <c r="S601" s="128"/>
      <c r="T601" s="128"/>
      <c r="U601" s="129"/>
      <c r="W601" s="35" t="str">
        <f>"-- "&amp;C601</f>
        <v>-- バックアップ_医薬品成分関連マスタ登録</v>
      </c>
    </row>
    <row r="602" spans="2:23" ht="18.75" customHeight="1">
      <c r="B602" s="43" t="s">
        <v>159</v>
      </c>
      <c r="C602" s="116" t="str">
        <f>C604&amp;"テーブルのレコードを"&amp;R604&amp;"テーブルに格納する。"</f>
        <v>医薬品成分関連マスタテーブルのレコードをバックアップ_医薬品成分関連マスタテーブルに格納する。</v>
      </c>
      <c r="D602" s="117"/>
      <c r="E602" s="117"/>
      <c r="F602" s="117"/>
      <c r="G602" s="117"/>
      <c r="H602" s="117"/>
      <c r="I602" s="117"/>
      <c r="J602" s="117"/>
      <c r="K602" s="117"/>
      <c r="L602" s="117"/>
      <c r="M602" s="117"/>
      <c r="N602" s="117"/>
      <c r="O602" s="117"/>
      <c r="P602" s="117"/>
      <c r="Q602" s="117"/>
      <c r="R602" s="117"/>
      <c r="S602" s="117"/>
      <c r="T602" s="117"/>
      <c r="U602" s="118"/>
      <c r="W602" s="35" t="str">
        <f>"-- "&amp;C602</f>
        <v>-- 医薬品成分関連マスタテーブルのレコードをバックアップ_医薬品成分関連マスタテーブルに格納する。</v>
      </c>
    </row>
    <row r="604" spans="2:23" ht="18.75" customHeight="1">
      <c r="C604" s="119" t="s">
        <v>3606</v>
      </c>
      <c r="D604" s="120"/>
      <c r="E604" s="123" t="s">
        <v>162</v>
      </c>
      <c r="F604" s="36"/>
      <c r="G604" s="36"/>
      <c r="H604" s="36"/>
      <c r="I604" s="36"/>
      <c r="J604" s="36"/>
      <c r="K604" s="36"/>
      <c r="L604" s="36"/>
      <c r="M604" s="36"/>
      <c r="N604" s="36"/>
      <c r="O604" s="36"/>
      <c r="P604" s="36"/>
      <c r="Q604" s="36"/>
      <c r="R604" s="119" t="str">
        <f>"バックアップ_"&amp;SUBSTITUTE(C604,"_結合","")</f>
        <v>バックアップ_医薬品成分関連マスタ</v>
      </c>
      <c r="S604" s="120"/>
      <c r="T604" s="125" t="str">
        <f>エンティティ一覧!$O$2</f>
        <v>milscm_2023_007</v>
      </c>
    </row>
    <row r="605" spans="2:23" ht="18.75" customHeight="1">
      <c r="C605" s="121"/>
      <c r="D605" s="122"/>
      <c r="E605" s="124"/>
      <c r="F605" s="37"/>
      <c r="G605" s="37"/>
      <c r="H605" s="37"/>
      <c r="I605" s="37"/>
      <c r="J605" s="37"/>
      <c r="K605" s="37"/>
      <c r="L605" s="37"/>
      <c r="M605" s="37"/>
      <c r="N605" s="37"/>
      <c r="O605" s="37"/>
      <c r="P605" s="37"/>
      <c r="Q605" s="37"/>
      <c r="R605" s="121"/>
      <c r="S605" s="122"/>
      <c r="T605" s="126"/>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27" t="str">
        <f>R613&amp;"登録"</f>
        <v>バックアップ_医薬品適用病名関連マスタ登録</v>
      </c>
      <c r="D610" s="128"/>
      <c r="E610" s="128"/>
      <c r="F610" s="128"/>
      <c r="G610" s="128"/>
      <c r="H610" s="128"/>
      <c r="I610" s="128"/>
      <c r="J610" s="128"/>
      <c r="K610" s="128"/>
      <c r="L610" s="128"/>
      <c r="M610" s="128"/>
      <c r="N610" s="128"/>
      <c r="O610" s="128"/>
      <c r="P610" s="128"/>
      <c r="Q610" s="128"/>
      <c r="R610" s="128"/>
      <c r="S610" s="128"/>
      <c r="T610" s="128"/>
      <c r="U610" s="129"/>
      <c r="W610" s="35" t="str">
        <f>"-- "&amp;C610</f>
        <v>-- バックアップ_医薬品適用病名関連マスタ登録</v>
      </c>
    </row>
    <row r="611" spans="2:23" ht="18.75" customHeight="1">
      <c r="B611" s="43" t="s">
        <v>159</v>
      </c>
      <c r="C611" s="116" t="str">
        <f>C613&amp;"テーブルのレコードを"&amp;R613&amp;"テーブルに格納する。"</f>
        <v>医薬品適用病名関連マスタテーブルのレコードをバックアップ_医薬品適用病名関連マスタテーブルに格納する。</v>
      </c>
      <c r="D611" s="117"/>
      <c r="E611" s="117"/>
      <c r="F611" s="117"/>
      <c r="G611" s="117"/>
      <c r="H611" s="117"/>
      <c r="I611" s="117"/>
      <c r="J611" s="117"/>
      <c r="K611" s="117"/>
      <c r="L611" s="117"/>
      <c r="M611" s="117"/>
      <c r="N611" s="117"/>
      <c r="O611" s="117"/>
      <c r="P611" s="117"/>
      <c r="Q611" s="117"/>
      <c r="R611" s="117"/>
      <c r="S611" s="117"/>
      <c r="T611" s="117"/>
      <c r="U611" s="118"/>
      <c r="W611" s="35" t="str">
        <f>"-- "&amp;C611</f>
        <v>-- 医薬品適用病名関連マスタテーブルのレコードをバックアップ_医薬品適用病名関連マスタテーブルに格納する。</v>
      </c>
    </row>
    <row r="613" spans="2:23" ht="18.75" customHeight="1">
      <c r="C613" s="119" t="s">
        <v>3608</v>
      </c>
      <c r="D613" s="120"/>
      <c r="E613" s="123" t="s">
        <v>162</v>
      </c>
      <c r="F613" s="36"/>
      <c r="G613" s="36"/>
      <c r="H613" s="36"/>
      <c r="I613" s="36"/>
      <c r="J613" s="36"/>
      <c r="K613" s="36"/>
      <c r="L613" s="36"/>
      <c r="M613" s="36"/>
      <c r="N613" s="36"/>
      <c r="O613" s="36"/>
      <c r="P613" s="36"/>
      <c r="Q613" s="36"/>
      <c r="R613" s="119" t="str">
        <f>"バックアップ_"&amp;SUBSTITUTE(C613,"_結合","")</f>
        <v>バックアップ_医薬品適用病名関連マスタ</v>
      </c>
      <c r="S613" s="120"/>
      <c r="T613" s="125" t="str">
        <f>エンティティ一覧!$O$2</f>
        <v>milscm_2023_007</v>
      </c>
    </row>
    <row r="614" spans="2:23" ht="18.75" customHeight="1">
      <c r="C614" s="121"/>
      <c r="D614" s="122"/>
      <c r="E614" s="124"/>
      <c r="F614" s="37"/>
      <c r="G614" s="37"/>
      <c r="H614" s="37"/>
      <c r="I614" s="37"/>
      <c r="J614" s="37"/>
      <c r="K614" s="37"/>
      <c r="L614" s="37"/>
      <c r="M614" s="37"/>
      <c r="N614" s="37"/>
      <c r="O614" s="37"/>
      <c r="P614" s="37"/>
      <c r="Q614" s="37"/>
      <c r="R614" s="121"/>
      <c r="S614" s="122"/>
      <c r="T614" s="126"/>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27" t="str">
        <f>R622&amp;"登録"</f>
        <v>バックアップ_MML共通登録</v>
      </c>
      <c r="D619" s="128"/>
      <c r="E619" s="128"/>
      <c r="F619" s="128"/>
      <c r="G619" s="128"/>
      <c r="H619" s="128"/>
      <c r="I619" s="128"/>
      <c r="J619" s="128"/>
      <c r="K619" s="128"/>
      <c r="L619" s="128"/>
      <c r="M619" s="128"/>
      <c r="N619" s="128"/>
      <c r="O619" s="128"/>
      <c r="P619" s="128"/>
      <c r="Q619" s="128"/>
      <c r="R619" s="128"/>
      <c r="S619" s="128"/>
      <c r="T619" s="128"/>
      <c r="U619" s="129"/>
      <c r="W619" s="35" t="str">
        <f>"-- "&amp;C619</f>
        <v>-- バックアップ_MML共通登録</v>
      </c>
    </row>
    <row r="620" spans="2:23" ht="18.75" customHeight="1">
      <c r="B620" s="43" t="s">
        <v>159</v>
      </c>
      <c r="C620" s="116"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17"/>
      <c r="E620" s="117"/>
      <c r="F620" s="117"/>
      <c r="G620" s="117"/>
      <c r="H620" s="117"/>
      <c r="I620" s="117"/>
      <c r="J620" s="117"/>
      <c r="K620" s="117"/>
      <c r="L620" s="117"/>
      <c r="M620" s="117"/>
      <c r="N620" s="117"/>
      <c r="O620" s="117"/>
      <c r="P620" s="117"/>
      <c r="Q620" s="117"/>
      <c r="R620" s="117"/>
      <c r="S620" s="117"/>
      <c r="T620" s="117"/>
      <c r="U620" s="118"/>
      <c r="W620" s="35" t="str">
        <f>"-- "&amp;C620</f>
        <v>-- MML共通テーブルから組入れ条件の第一条件で絞り込んだ結果をバックアップ_MML共通テーブルに格納する。</v>
      </c>
    </row>
    <row r="622" spans="2:23" ht="18.75" customHeight="1">
      <c r="C622" s="119" t="s">
        <v>3610</v>
      </c>
      <c r="D622" s="120"/>
      <c r="E622" s="123" t="s">
        <v>162</v>
      </c>
      <c r="F622" s="36"/>
      <c r="G622" s="36"/>
      <c r="H622" s="36"/>
      <c r="I622" s="36"/>
      <c r="J622" s="36"/>
      <c r="M622" s="36"/>
      <c r="N622" s="36"/>
      <c r="O622" s="36"/>
      <c r="P622" s="36"/>
      <c r="Q622" s="36"/>
      <c r="R622" s="119" t="str">
        <f>"バックアップ_"&amp;SUBSTITUTE(C622,"_結合","")</f>
        <v>バックアップ_MML共通</v>
      </c>
      <c r="S622" s="120"/>
      <c r="T622" s="125" t="str">
        <f>エンティティ一覧!$O$2</f>
        <v>milscm_2023_007</v>
      </c>
    </row>
    <row r="623" spans="2:23" ht="18.75" customHeight="1">
      <c r="C623" s="121"/>
      <c r="D623" s="122"/>
      <c r="E623" s="124"/>
      <c r="F623" s="37"/>
      <c r="G623" s="37"/>
      <c r="H623" s="37"/>
      <c r="I623" s="37"/>
      <c r="J623" s="37"/>
      <c r="K623" s="37"/>
      <c r="L623" s="38"/>
      <c r="M623" s="37"/>
      <c r="N623" s="37"/>
      <c r="O623" s="37"/>
      <c r="P623" s="37"/>
      <c r="Q623" s="37"/>
      <c r="R623" s="121"/>
      <c r="S623" s="122"/>
      <c r="T623" s="126"/>
    </row>
    <row r="624" spans="2:23" ht="18.75" customHeight="1">
      <c r="K624" s="39"/>
      <c r="L624" s="40"/>
    </row>
    <row r="625" spans="2:23" ht="18.75" customHeight="1">
      <c r="C625" s="119" t="s">
        <v>3188</v>
      </c>
      <c r="D625" s="120"/>
      <c r="E625" s="125" t="str">
        <f>エンティティ一覧!$O$2</f>
        <v>milscm_2023_007</v>
      </c>
      <c r="F625" s="36"/>
      <c r="G625" s="36"/>
      <c r="H625" s="36"/>
      <c r="I625" s="36"/>
      <c r="J625" s="36"/>
      <c r="L625" s="41"/>
    </row>
    <row r="626" spans="2:23" ht="18.75" customHeight="1">
      <c r="C626" s="121"/>
      <c r="D626" s="122"/>
      <c r="E626" s="126"/>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3924</v>
      </c>
      <c r="D630" s="103"/>
      <c r="W630" s="35" t="str">
        <f>"-- "&amp;B630&amp;" : "&amp;C630</f>
        <v>-- SQL_ID : 01_A6-02-01</v>
      </c>
    </row>
    <row r="631" spans="2:23" ht="18.75" customHeight="1">
      <c r="B631" s="43" t="s">
        <v>158</v>
      </c>
      <c r="C631" s="127" t="s">
        <v>3925</v>
      </c>
      <c r="D631" s="128"/>
      <c r="E631" s="128"/>
      <c r="F631" s="128"/>
      <c r="G631" s="128"/>
      <c r="H631" s="128"/>
      <c r="I631" s="128"/>
      <c r="J631" s="128"/>
      <c r="K631" s="128"/>
      <c r="L631" s="128"/>
      <c r="M631" s="128"/>
      <c r="N631" s="128"/>
      <c r="O631" s="128"/>
      <c r="P631" s="128"/>
      <c r="Q631" s="128"/>
      <c r="R631" s="128"/>
      <c r="S631" s="128"/>
      <c r="T631" s="128"/>
      <c r="U631" s="129"/>
      <c r="W631" s="35" t="str">
        <f>"-- "&amp;C631</f>
        <v>-- バックアップ_MML共通_名古屋第一_Lb登録</v>
      </c>
    </row>
    <row r="632" spans="2:23" ht="18.75" customHeight="1">
      <c r="B632" s="43" t="s">
        <v>159</v>
      </c>
      <c r="C632" s="116"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17"/>
      <c r="E632" s="117"/>
      <c r="F632" s="117"/>
      <c r="G632" s="117"/>
      <c r="H632" s="117"/>
      <c r="I632" s="117"/>
      <c r="J632" s="117"/>
      <c r="K632" s="117"/>
      <c r="L632" s="117"/>
      <c r="M632" s="117"/>
      <c r="N632" s="117"/>
      <c r="O632" s="117"/>
      <c r="P632" s="117"/>
      <c r="Q632" s="117"/>
      <c r="R632" s="117"/>
      <c r="S632" s="117"/>
      <c r="T632" s="117"/>
      <c r="U632" s="118"/>
      <c r="W632" s="35" t="str">
        <f>"-- "&amp;C632</f>
        <v>-- MML共通テーブルから名古屋第一、Lbモジュールの条件で絞り込んだ結果をバックアップ_MML共通テーブルに格納する。</v>
      </c>
    </row>
    <row r="634" spans="2:23" ht="18.75" customHeight="1">
      <c r="C634" s="119" t="s">
        <v>3610</v>
      </c>
      <c r="D634" s="120"/>
      <c r="E634" s="123" t="s">
        <v>162</v>
      </c>
      <c r="F634" s="36"/>
      <c r="G634" s="36"/>
      <c r="H634" s="36"/>
      <c r="I634" s="36"/>
      <c r="J634" s="36"/>
      <c r="M634" s="36"/>
      <c r="N634" s="36"/>
      <c r="O634" s="36"/>
      <c r="P634" s="36"/>
      <c r="Q634" s="36"/>
      <c r="R634" s="119" t="str">
        <f>"バックアップ_"&amp;SUBSTITUTE(C634,"_結合","")</f>
        <v>バックアップ_MML共通</v>
      </c>
      <c r="S634" s="120"/>
      <c r="T634" s="125" t="str">
        <f>エンティティ一覧!$O$2</f>
        <v>milscm_2023_007</v>
      </c>
    </row>
    <row r="635" spans="2:23" ht="18.75" customHeight="1">
      <c r="C635" s="121"/>
      <c r="D635" s="122"/>
      <c r="E635" s="124"/>
      <c r="F635" s="37"/>
      <c r="G635" s="37"/>
      <c r="H635" s="37"/>
      <c r="I635" s="37"/>
      <c r="J635" s="37"/>
      <c r="K635" s="37"/>
      <c r="L635" s="37"/>
      <c r="M635" s="37"/>
      <c r="N635" s="37"/>
      <c r="O635" s="37"/>
      <c r="P635" s="37"/>
      <c r="Q635" s="37"/>
      <c r="R635" s="121"/>
      <c r="S635" s="122"/>
      <c r="T635" s="126"/>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27" t="str">
        <f>R643&amp;"登録"</f>
        <v>バックアップ_MML_診断履歴情報モジュール_本文登録</v>
      </c>
      <c r="D640" s="128"/>
      <c r="E640" s="128"/>
      <c r="F640" s="128"/>
      <c r="G640" s="128"/>
      <c r="H640" s="128"/>
      <c r="I640" s="128"/>
      <c r="J640" s="128"/>
      <c r="K640" s="128"/>
      <c r="L640" s="128"/>
      <c r="M640" s="128"/>
      <c r="N640" s="128"/>
      <c r="O640" s="128"/>
      <c r="P640" s="128"/>
      <c r="Q640" s="128"/>
      <c r="R640" s="128"/>
      <c r="S640" s="128"/>
      <c r="T640" s="128"/>
      <c r="U640" s="129"/>
      <c r="W640" s="35" t="str">
        <f>"-- "&amp;C640</f>
        <v>-- バックアップ_MML_診断履歴情報モジュール_本文登録</v>
      </c>
    </row>
    <row r="641" spans="2:23" ht="18.75" customHeight="1">
      <c r="B641" s="43" t="s">
        <v>159</v>
      </c>
      <c r="C641" s="116"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17"/>
      <c r="E641" s="117"/>
      <c r="F641" s="117"/>
      <c r="G641" s="117"/>
      <c r="H641" s="117"/>
      <c r="I641" s="117"/>
      <c r="J641" s="117"/>
      <c r="K641" s="117"/>
      <c r="L641" s="117"/>
      <c r="M641" s="117"/>
      <c r="N641" s="117"/>
      <c r="O641" s="117"/>
      <c r="P641" s="117"/>
      <c r="Q641" s="117"/>
      <c r="R641" s="117"/>
      <c r="S641" s="117"/>
      <c r="T641" s="117"/>
      <c r="U641" s="118"/>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19" t="s">
        <v>3612</v>
      </c>
      <c r="D643" s="120"/>
      <c r="E643" s="123" t="s">
        <v>162</v>
      </c>
      <c r="H643" s="36"/>
      <c r="I643" s="36"/>
      <c r="J643" s="36"/>
      <c r="K643" s="36"/>
      <c r="L643" s="36"/>
      <c r="M643" s="36"/>
      <c r="N643" s="36"/>
      <c r="O643" s="36"/>
      <c r="P643" s="36"/>
      <c r="Q643" s="36"/>
      <c r="R643" s="119" t="str">
        <f>"バックアップ_"&amp;SUBSTITUTE(C643,"_結合","")</f>
        <v>バックアップ_MML_診断履歴情報モジュール_本文</v>
      </c>
      <c r="S643" s="120"/>
      <c r="T643" s="125" t="str">
        <f>エンティティ一覧!$O$2</f>
        <v>milscm_2023_007</v>
      </c>
    </row>
    <row r="644" spans="2:23" ht="18.75" customHeight="1">
      <c r="C644" s="121"/>
      <c r="D644" s="122"/>
      <c r="E644" s="124"/>
      <c r="F644" s="37"/>
      <c r="G644" s="38"/>
      <c r="H644" s="37"/>
      <c r="I644" s="37"/>
      <c r="J644" s="37"/>
      <c r="K644" s="37"/>
      <c r="L644" s="37"/>
      <c r="M644" s="37"/>
      <c r="N644" s="37"/>
      <c r="O644" s="37"/>
      <c r="P644" s="37"/>
      <c r="Q644" s="37"/>
      <c r="R644" s="121"/>
      <c r="S644" s="122"/>
      <c r="T644" s="126"/>
    </row>
    <row r="645" spans="2:23" ht="18.75" customHeight="1">
      <c r="F645" s="39"/>
      <c r="G645" s="40"/>
    </row>
    <row r="646" spans="2:23" ht="18.75" customHeight="1">
      <c r="C646" s="119" t="s">
        <v>3188</v>
      </c>
      <c r="D646" s="120"/>
      <c r="E646" s="125" t="str">
        <f>エンティティ一覧!$O$2</f>
        <v>milscm_2023_007</v>
      </c>
      <c r="G646" s="41"/>
    </row>
    <row r="647" spans="2:23" ht="18.75" customHeight="1">
      <c r="C647" s="121"/>
      <c r="D647" s="122"/>
      <c r="E647" s="126"/>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27" t="str">
        <f>R655&amp;"登録"</f>
        <v>バックアップ_MML_診断履歴情報モジュール_病名登録</v>
      </c>
      <c r="D652" s="128"/>
      <c r="E652" s="128"/>
      <c r="F652" s="128"/>
      <c r="G652" s="128"/>
      <c r="H652" s="128"/>
      <c r="I652" s="128"/>
      <c r="J652" s="128"/>
      <c r="K652" s="128"/>
      <c r="L652" s="128"/>
      <c r="M652" s="128"/>
      <c r="N652" s="128"/>
      <c r="O652" s="128"/>
      <c r="P652" s="128"/>
      <c r="Q652" s="128"/>
      <c r="R652" s="128"/>
      <c r="S652" s="128"/>
      <c r="T652" s="128"/>
      <c r="U652" s="129"/>
      <c r="W652" s="35" t="str">
        <f>"-- "&amp;C652</f>
        <v>-- バックアップ_MML_診断履歴情報モジュール_病名登録</v>
      </c>
    </row>
    <row r="653" spans="2:23" ht="18.75" customHeight="1">
      <c r="B653" s="43" t="s">
        <v>159</v>
      </c>
      <c r="C653" s="116"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17"/>
      <c r="E653" s="117"/>
      <c r="F653" s="117"/>
      <c r="G653" s="117"/>
      <c r="H653" s="117"/>
      <c r="I653" s="117"/>
      <c r="J653" s="117"/>
      <c r="K653" s="117"/>
      <c r="L653" s="117"/>
      <c r="M653" s="117"/>
      <c r="N653" s="117"/>
      <c r="O653" s="117"/>
      <c r="P653" s="117"/>
      <c r="Q653" s="117"/>
      <c r="R653" s="117"/>
      <c r="S653" s="117"/>
      <c r="T653" s="117"/>
      <c r="U653" s="118"/>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19" t="s">
        <v>3614</v>
      </c>
      <c r="D655" s="120"/>
      <c r="E655" s="123" t="s">
        <v>162</v>
      </c>
      <c r="H655" s="36"/>
      <c r="I655" s="36"/>
      <c r="J655" s="36"/>
      <c r="K655" s="36"/>
      <c r="L655" s="36"/>
      <c r="M655" s="36"/>
      <c r="N655" s="36"/>
      <c r="O655" s="36"/>
      <c r="P655" s="36"/>
      <c r="Q655" s="36"/>
      <c r="R655" s="119" t="str">
        <f>"バックアップ_"&amp;SUBSTITUTE(C655,"_結合","")</f>
        <v>バックアップ_MML_診断履歴情報モジュール_病名</v>
      </c>
      <c r="S655" s="120"/>
      <c r="T655" s="125" t="str">
        <f>エンティティ一覧!$O$2</f>
        <v>milscm_2023_007</v>
      </c>
    </row>
    <row r="656" spans="2:23" ht="18.75" customHeight="1">
      <c r="C656" s="121"/>
      <c r="D656" s="122"/>
      <c r="E656" s="124"/>
      <c r="F656" s="37"/>
      <c r="G656" s="38"/>
      <c r="H656" s="37"/>
      <c r="I656" s="37"/>
      <c r="J656" s="37"/>
      <c r="K656" s="37"/>
      <c r="L656" s="37"/>
      <c r="M656" s="37"/>
      <c r="N656" s="37"/>
      <c r="O656" s="37"/>
      <c r="P656" s="37"/>
      <c r="Q656" s="37"/>
      <c r="R656" s="121"/>
      <c r="S656" s="122"/>
      <c r="T656" s="126"/>
    </row>
    <row r="657" spans="2:23" ht="18.75" customHeight="1">
      <c r="F657" s="39"/>
      <c r="G657" s="40"/>
    </row>
    <row r="658" spans="2:23" ht="18.75" customHeight="1">
      <c r="C658" s="119" t="s">
        <v>3188</v>
      </c>
      <c r="D658" s="120"/>
      <c r="E658" s="125" t="str">
        <f>エンティティ一覧!$O$2</f>
        <v>milscm_2023_007</v>
      </c>
      <c r="G658" s="41"/>
    </row>
    <row r="659" spans="2:23" ht="18.75" customHeight="1">
      <c r="C659" s="121"/>
      <c r="D659" s="122"/>
      <c r="E659" s="126"/>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27" t="str">
        <f>R667&amp;"登録"</f>
        <v>バックアップ_MML_診断履歴情報モジュール_カテゴリ名登録</v>
      </c>
      <c r="D664" s="128"/>
      <c r="E664" s="128"/>
      <c r="F664" s="128"/>
      <c r="G664" s="128"/>
      <c r="H664" s="128"/>
      <c r="I664" s="128"/>
      <c r="J664" s="128"/>
      <c r="K664" s="128"/>
      <c r="L664" s="128"/>
      <c r="M664" s="128"/>
      <c r="N664" s="128"/>
      <c r="O664" s="128"/>
      <c r="P664" s="128"/>
      <c r="Q664" s="128"/>
      <c r="R664" s="128"/>
      <c r="S664" s="128"/>
      <c r="T664" s="128"/>
      <c r="U664" s="129"/>
      <c r="W664" s="35" t="str">
        <f>"-- "&amp;C664</f>
        <v>-- バックアップ_MML_診断履歴情報モジュール_カテゴリ名登録</v>
      </c>
    </row>
    <row r="665" spans="2:23" ht="18.75" customHeight="1">
      <c r="B665" s="43" t="s">
        <v>159</v>
      </c>
      <c r="C665" s="116"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17"/>
      <c r="E665" s="117"/>
      <c r="F665" s="117"/>
      <c r="G665" s="117"/>
      <c r="H665" s="117"/>
      <c r="I665" s="117"/>
      <c r="J665" s="117"/>
      <c r="K665" s="117"/>
      <c r="L665" s="117"/>
      <c r="M665" s="117"/>
      <c r="N665" s="117"/>
      <c r="O665" s="117"/>
      <c r="P665" s="117"/>
      <c r="Q665" s="117"/>
      <c r="R665" s="117"/>
      <c r="S665" s="117"/>
      <c r="T665" s="117"/>
      <c r="U665" s="118"/>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19" t="s">
        <v>3616</v>
      </c>
      <c r="D667" s="120"/>
      <c r="E667" s="123" t="s">
        <v>162</v>
      </c>
      <c r="H667" s="36"/>
      <c r="I667" s="36"/>
      <c r="J667" s="36"/>
      <c r="K667" s="36"/>
      <c r="L667" s="36"/>
      <c r="M667" s="36"/>
      <c r="N667" s="36"/>
      <c r="O667" s="36"/>
      <c r="P667" s="36"/>
      <c r="Q667" s="36"/>
      <c r="R667" s="130" t="str">
        <f>"バックアップ_"&amp;SUBSTITUTE(C667,"_結合","")</f>
        <v>バックアップ_MML_診断履歴情報モジュール_カテゴリ名</v>
      </c>
      <c r="S667" s="131"/>
      <c r="T667" s="125" t="str">
        <f>エンティティ一覧!$O$2</f>
        <v>milscm_2023_007</v>
      </c>
    </row>
    <row r="668" spans="2:23" ht="18.75" customHeight="1">
      <c r="C668" s="121"/>
      <c r="D668" s="122"/>
      <c r="E668" s="124"/>
      <c r="F668" s="37"/>
      <c r="G668" s="38"/>
      <c r="H668" s="37"/>
      <c r="I668" s="37"/>
      <c r="J668" s="37"/>
      <c r="K668" s="37"/>
      <c r="L668" s="37"/>
      <c r="M668" s="37"/>
      <c r="N668" s="37"/>
      <c r="O668" s="37"/>
      <c r="P668" s="37"/>
      <c r="Q668" s="37"/>
      <c r="R668" s="132"/>
      <c r="S668" s="133"/>
      <c r="T668" s="126"/>
    </row>
    <row r="669" spans="2:23" ht="18.75" customHeight="1">
      <c r="F669" s="39"/>
      <c r="G669" s="40"/>
    </row>
    <row r="670" spans="2:23" ht="18.75" customHeight="1">
      <c r="C670" s="119" t="s">
        <v>3188</v>
      </c>
      <c r="D670" s="120"/>
      <c r="E670" s="125" t="str">
        <f>エンティティ一覧!$O$2</f>
        <v>milscm_2023_007</v>
      </c>
      <c r="G670" s="41"/>
    </row>
    <row r="671" spans="2:23" ht="18.75" customHeight="1">
      <c r="C671" s="121"/>
      <c r="D671" s="122"/>
      <c r="E671" s="126"/>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3926</v>
      </c>
      <c r="D675" s="103"/>
      <c r="W675" s="35" t="str">
        <f>"-- "&amp;B675&amp;" : "&amp;C675</f>
        <v>-- SQL_ID : 01_A6-18</v>
      </c>
    </row>
    <row r="676" spans="2:23" ht="18.75" customHeight="1">
      <c r="B676" s="43" t="s">
        <v>158</v>
      </c>
      <c r="C676" s="127" t="str">
        <f>R679&amp;"登録"</f>
        <v>バックアップ_MML_検歴情報モジュール_本文登録</v>
      </c>
      <c r="D676" s="128"/>
      <c r="E676" s="128"/>
      <c r="F676" s="128"/>
      <c r="G676" s="128"/>
      <c r="H676" s="128"/>
      <c r="I676" s="128"/>
      <c r="J676" s="128"/>
      <c r="K676" s="128"/>
      <c r="L676" s="128"/>
      <c r="M676" s="128"/>
      <c r="N676" s="128"/>
      <c r="O676" s="128"/>
      <c r="P676" s="128"/>
      <c r="Q676" s="128"/>
      <c r="R676" s="128"/>
      <c r="S676" s="128"/>
      <c r="T676" s="128"/>
      <c r="U676" s="129"/>
      <c r="W676" s="35" t="str">
        <f>"-- "&amp;C676</f>
        <v>-- バックアップ_MML_検歴情報モジュール_本文登録</v>
      </c>
    </row>
    <row r="677" spans="2:23" ht="18.75" customHeight="1">
      <c r="B677" s="43" t="s">
        <v>159</v>
      </c>
      <c r="C677" s="116"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17"/>
      <c r="E677" s="117"/>
      <c r="F677" s="117"/>
      <c r="G677" s="117"/>
      <c r="H677" s="117"/>
      <c r="I677" s="117"/>
      <c r="J677" s="117"/>
      <c r="K677" s="117"/>
      <c r="L677" s="117"/>
      <c r="M677" s="117"/>
      <c r="N677" s="117"/>
      <c r="O677" s="117"/>
      <c r="P677" s="117"/>
      <c r="Q677" s="117"/>
      <c r="R677" s="117"/>
      <c r="S677" s="117"/>
      <c r="T677" s="117"/>
      <c r="U677" s="118"/>
      <c r="W677" s="35" t="str">
        <f>"-- "&amp;C677</f>
        <v>-- MML_検歴情報モジュール_本文テーブルから名古屋第一の条件で絞り込んだ結果をバックアップ_MML_検歴情報モジュール_本文テーブルに格納する。</v>
      </c>
    </row>
    <row r="679" spans="2:23" ht="18.75" customHeight="1">
      <c r="C679" s="119" t="s">
        <v>3927</v>
      </c>
      <c r="D679" s="120"/>
      <c r="E679" s="123" t="s">
        <v>162</v>
      </c>
      <c r="F679" s="36"/>
      <c r="G679" s="36"/>
      <c r="H679" s="36"/>
      <c r="I679" s="36"/>
      <c r="J679" s="36"/>
      <c r="M679" s="36"/>
      <c r="N679" s="36"/>
      <c r="O679" s="36"/>
      <c r="P679" s="36"/>
      <c r="Q679" s="36"/>
      <c r="R679" s="119" t="str">
        <f>"バックアップ_"&amp;SUBSTITUTE(C679,"_結合","")</f>
        <v>バックアップ_MML_検歴情報モジュール_本文</v>
      </c>
      <c r="S679" s="120"/>
      <c r="T679" s="125" t="str">
        <f>エンティティ一覧!$O$2</f>
        <v>milscm_2023_007</v>
      </c>
    </row>
    <row r="680" spans="2:23" ht="18.75" customHeight="1">
      <c r="C680" s="121"/>
      <c r="D680" s="122"/>
      <c r="E680" s="124"/>
      <c r="F680" s="37"/>
      <c r="G680" s="37"/>
      <c r="H680" s="37"/>
      <c r="I680" s="37"/>
      <c r="J680" s="37"/>
      <c r="K680" s="37"/>
      <c r="L680" s="37"/>
      <c r="M680" s="37"/>
      <c r="N680" s="37"/>
      <c r="O680" s="37"/>
      <c r="P680" s="37"/>
      <c r="Q680" s="37"/>
      <c r="R680" s="121"/>
      <c r="S680" s="122"/>
      <c r="T680" s="126"/>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3928</v>
      </c>
      <c r="D684" s="103"/>
      <c r="W684" s="35" t="str">
        <f>"-- "&amp;B684&amp;" : "&amp;C684</f>
        <v>-- SQL_ID : 01_A6-19</v>
      </c>
    </row>
    <row r="685" spans="2:23" ht="18.75" customHeight="1">
      <c r="B685" s="43" t="s">
        <v>158</v>
      </c>
      <c r="C685" s="127" t="str">
        <f>R688&amp;"登録"</f>
        <v>バックアップ_MML_検歴情報モジュール_報告コメント登録</v>
      </c>
      <c r="D685" s="128"/>
      <c r="E685" s="128"/>
      <c r="F685" s="128"/>
      <c r="G685" s="128"/>
      <c r="H685" s="128"/>
      <c r="I685" s="128"/>
      <c r="J685" s="128"/>
      <c r="K685" s="128"/>
      <c r="L685" s="128"/>
      <c r="M685" s="128"/>
      <c r="N685" s="128"/>
      <c r="O685" s="128"/>
      <c r="P685" s="128"/>
      <c r="Q685" s="128"/>
      <c r="R685" s="128"/>
      <c r="S685" s="128"/>
      <c r="T685" s="128"/>
      <c r="U685" s="129"/>
      <c r="W685" s="35" t="str">
        <f>"-- "&amp;C685</f>
        <v>-- バックアップ_MML_検歴情報モジュール_報告コメント登録</v>
      </c>
    </row>
    <row r="686" spans="2:23" ht="18.75" customHeight="1">
      <c r="B686" s="43" t="s">
        <v>159</v>
      </c>
      <c r="C686" s="116"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17"/>
      <c r="E686" s="117"/>
      <c r="F686" s="117"/>
      <c r="G686" s="117"/>
      <c r="H686" s="117"/>
      <c r="I686" s="117"/>
      <c r="J686" s="117"/>
      <c r="K686" s="117"/>
      <c r="L686" s="117"/>
      <c r="M686" s="117"/>
      <c r="N686" s="117"/>
      <c r="O686" s="117"/>
      <c r="P686" s="117"/>
      <c r="Q686" s="117"/>
      <c r="R686" s="117"/>
      <c r="S686" s="117"/>
      <c r="T686" s="117"/>
      <c r="U686" s="118"/>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19" t="s">
        <v>3929</v>
      </c>
      <c r="D688" s="120"/>
      <c r="E688" s="123" t="s">
        <v>162</v>
      </c>
      <c r="F688" s="36"/>
      <c r="G688" s="36"/>
      <c r="H688" s="36"/>
      <c r="I688" s="36"/>
      <c r="J688" s="36"/>
      <c r="M688" s="36"/>
      <c r="N688" s="36"/>
      <c r="O688" s="36"/>
      <c r="P688" s="36"/>
      <c r="Q688" s="36"/>
      <c r="R688" s="119" t="str">
        <f>"バックアップ_"&amp;SUBSTITUTE(C688,"_結合","")</f>
        <v>バックアップ_MML_検歴情報モジュール_報告コメント</v>
      </c>
      <c r="S688" s="120"/>
      <c r="T688" s="125" t="str">
        <f>エンティティ一覧!$O$2</f>
        <v>milscm_2023_007</v>
      </c>
    </row>
    <row r="689" spans="2:23" ht="18.75" customHeight="1">
      <c r="C689" s="121"/>
      <c r="D689" s="122"/>
      <c r="E689" s="124"/>
      <c r="F689" s="37"/>
      <c r="G689" s="37"/>
      <c r="H689" s="37"/>
      <c r="I689" s="37"/>
      <c r="J689" s="37"/>
      <c r="K689" s="37"/>
      <c r="L689" s="37"/>
      <c r="M689" s="37"/>
      <c r="N689" s="37"/>
      <c r="O689" s="37"/>
      <c r="P689" s="37"/>
      <c r="Q689" s="37"/>
      <c r="R689" s="121"/>
      <c r="S689" s="122"/>
      <c r="T689" s="126"/>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3930</v>
      </c>
      <c r="D693" s="103"/>
      <c r="W693" s="35" t="str">
        <f>"-- "&amp;B693&amp;" : "&amp;C693</f>
        <v>-- SQL_ID : 01_A6-20</v>
      </c>
    </row>
    <row r="694" spans="2:23" ht="18.75" customHeight="1">
      <c r="B694" s="43" t="s">
        <v>158</v>
      </c>
      <c r="C694" s="127" t="str">
        <f>R697&amp;"登録"</f>
        <v>バックアップ_MML_検歴情報モジュール_検体検査結果情報登録</v>
      </c>
      <c r="D694" s="128"/>
      <c r="E694" s="128"/>
      <c r="F694" s="128"/>
      <c r="G694" s="128"/>
      <c r="H694" s="128"/>
      <c r="I694" s="128"/>
      <c r="J694" s="128"/>
      <c r="K694" s="128"/>
      <c r="L694" s="128"/>
      <c r="M694" s="128"/>
      <c r="N694" s="128"/>
      <c r="O694" s="128"/>
      <c r="P694" s="128"/>
      <c r="Q694" s="128"/>
      <c r="R694" s="128"/>
      <c r="S694" s="128"/>
      <c r="T694" s="128"/>
      <c r="U694" s="129"/>
      <c r="W694" s="35" t="str">
        <f>"-- "&amp;C694</f>
        <v>-- バックアップ_MML_検歴情報モジュール_検体検査結果情報登録</v>
      </c>
    </row>
    <row r="695" spans="2:23" ht="18.75" customHeight="1">
      <c r="B695" s="43" t="s">
        <v>159</v>
      </c>
      <c r="C695" s="116"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17"/>
      <c r="E695" s="117"/>
      <c r="F695" s="117"/>
      <c r="G695" s="117"/>
      <c r="H695" s="117"/>
      <c r="I695" s="117"/>
      <c r="J695" s="117"/>
      <c r="K695" s="117"/>
      <c r="L695" s="117"/>
      <c r="M695" s="117"/>
      <c r="N695" s="117"/>
      <c r="O695" s="117"/>
      <c r="P695" s="117"/>
      <c r="Q695" s="117"/>
      <c r="R695" s="117"/>
      <c r="S695" s="117"/>
      <c r="T695" s="117"/>
      <c r="U695" s="118"/>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19" t="s">
        <v>3931</v>
      </c>
      <c r="D697" s="120"/>
      <c r="E697" s="123" t="s">
        <v>162</v>
      </c>
      <c r="F697" s="36"/>
      <c r="G697" s="36"/>
      <c r="H697" s="36"/>
      <c r="I697" s="36"/>
      <c r="J697" s="36"/>
      <c r="M697" s="36"/>
      <c r="N697" s="36"/>
      <c r="O697" s="36"/>
      <c r="P697" s="36"/>
      <c r="Q697" s="36"/>
      <c r="R697" s="130" t="str">
        <f>"バックアップ_"&amp;SUBSTITUTE(C697,"_結合","")</f>
        <v>バックアップ_MML_検歴情報モジュール_検体検査結果情報</v>
      </c>
      <c r="S697" s="131"/>
      <c r="T697" s="125" t="str">
        <f>エンティティ一覧!$O$2</f>
        <v>milscm_2023_007</v>
      </c>
    </row>
    <row r="698" spans="2:23" ht="18.75" customHeight="1">
      <c r="C698" s="121"/>
      <c r="D698" s="122"/>
      <c r="E698" s="124"/>
      <c r="F698" s="37"/>
      <c r="G698" s="37"/>
      <c r="H698" s="37"/>
      <c r="I698" s="37"/>
      <c r="J698" s="37"/>
      <c r="K698" s="37"/>
      <c r="L698" s="37"/>
      <c r="M698" s="37"/>
      <c r="N698" s="37"/>
      <c r="O698" s="37"/>
      <c r="P698" s="37"/>
      <c r="Q698" s="37"/>
      <c r="R698" s="132"/>
      <c r="S698" s="133"/>
      <c r="T698" s="126"/>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3932</v>
      </c>
      <c r="D702" s="103"/>
      <c r="W702" s="35" t="str">
        <f>"-- "&amp;B702&amp;" : "&amp;C702</f>
        <v>-- SQL_ID : 01_A6-21</v>
      </c>
    </row>
    <row r="703" spans="2:23" ht="18.75" customHeight="1">
      <c r="B703" s="43" t="s">
        <v>158</v>
      </c>
      <c r="C703" s="127" t="str">
        <f>R706&amp;"登録"</f>
        <v>バックアップ_MML_検歴情報モジュール_検体コメント登録</v>
      </c>
      <c r="D703" s="128"/>
      <c r="E703" s="128"/>
      <c r="F703" s="128"/>
      <c r="G703" s="128"/>
      <c r="H703" s="128"/>
      <c r="I703" s="128"/>
      <c r="J703" s="128"/>
      <c r="K703" s="128"/>
      <c r="L703" s="128"/>
      <c r="M703" s="128"/>
      <c r="N703" s="128"/>
      <c r="O703" s="128"/>
      <c r="P703" s="128"/>
      <c r="Q703" s="128"/>
      <c r="R703" s="128"/>
      <c r="S703" s="128"/>
      <c r="T703" s="128"/>
      <c r="U703" s="129"/>
      <c r="W703" s="35" t="str">
        <f>"-- "&amp;C703</f>
        <v>-- バックアップ_MML_検歴情報モジュール_検体コメント登録</v>
      </c>
    </row>
    <row r="704" spans="2:23" ht="18.75" customHeight="1">
      <c r="B704" s="43" t="s">
        <v>159</v>
      </c>
      <c r="C704" s="116"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17"/>
      <c r="E704" s="117"/>
      <c r="F704" s="117"/>
      <c r="G704" s="117"/>
      <c r="H704" s="117"/>
      <c r="I704" s="117"/>
      <c r="J704" s="117"/>
      <c r="K704" s="117"/>
      <c r="L704" s="117"/>
      <c r="M704" s="117"/>
      <c r="N704" s="117"/>
      <c r="O704" s="117"/>
      <c r="P704" s="117"/>
      <c r="Q704" s="117"/>
      <c r="R704" s="117"/>
      <c r="S704" s="117"/>
      <c r="T704" s="117"/>
      <c r="U704" s="118"/>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19" t="s">
        <v>3933</v>
      </c>
      <c r="D706" s="120"/>
      <c r="E706" s="123" t="s">
        <v>162</v>
      </c>
      <c r="F706" s="36"/>
      <c r="G706" s="36"/>
      <c r="H706" s="36"/>
      <c r="I706" s="36"/>
      <c r="J706" s="36"/>
      <c r="M706" s="36"/>
      <c r="N706" s="36"/>
      <c r="O706" s="36"/>
      <c r="P706" s="36"/>
      <c r="Q706" s="36"/>
      <c r="R706" s="119" t="str">
        <f>"バックアップ_"&amp;SUBSTITUTE(C706,"_結合","")</f>
        <v>バックアップ_MML_検歴情報モジュール_検体コメント</v>
      </c>
      <c r="S706" s="120"/>
      <c r="T706" s="125" t="str">
        <f>エンティティ一覧!$O$2</f>
        <v>milscm_2023_007</v>
      </c>
    </row>
    <row r="707" spans="2:23" ht="18.75" customHeight="1">
      <c r="C707" s="121"/>
      <c r="D707" s="122"/>
      <c r="E707" s="124"/>
      <c r="F707" s="37"/>
      <c r="G707" s="37"/>
      <c r="H707" s="37"/>
      <c r="I707" s="37"/>
      <c r="J707" s="37"/>
      <c r="K707" s="37"/>
      <c r="L707" s="37"/>
      <c r="M707" s="37"/>
      <c r="N707" s="37"/>
      <c r="O707" s="37"/>
      <c r="P707" s="37"/>
      <c r="Q707" s="37"/>
      <c r="R707" s="121"/>
      <c r="S707" s="122"/>
      <c r="T707" s="126"/>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3934</v>
      </c>
      <c r="D711" s="103"/>
      <c r="W711" s="35" t="str">
        <f>"-- "&amp;B711&amp;" : "&amp;C711</f>
        <v>-- SQL_ID : 01_A6-22</v>
      </c>
    </row>
    <row r="712" spans="2:23" ht="18.75" customHeight="1">
      <c r="B712" s="43" t="s">
        <v>158</v>
      </c>
      <c r="C712" s="127" t="str">
        <f>R715&amp;"登録"</f>
        <v>バックアップ_MML_検歴情報モジュール_検査項目登録</v>
      </c>
      <c r="D712" s="128"/>
      <c r="E712" s="128"/>
      <c r="F712" s="128"/>
      <c r="G712" s="128"/>
      <c r="H712" s="128"/>
      <c r="I712" s="128"/>
      <c r="J712" s="128"/>
      <c r="K712" s="128"/>
      <c r="L712" s="128"/>
      <c r="M712" s="128"/>
      <c r="N712" s="128"/>
      <c r="O712" s="128"/>
      <c r="P712" s="128"/>
      <c r="Q712" s="128"/>
      <c r="R712" s="128"/>
      <c r="S712" s="128"/>
      <c r="T712" s="128"/>
      <c r="U712" s="129"/>
      <c r="W712" s="35" t="str">
        <f>"-- "&amp;C712</f>
        <v>-- バックアップ_MML_検歴情報モジュール_検査項目登録</v>
      </c>
    </row>
    <row r="713" spans="2:23" ht="18.75" customHeight="1">
      <c r="B713" s="43" t="s">
        <v>159</v>
      </c>
      <c r="C713" s="116"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17"/>
      <c r="E713" s="117"/>
      <c r="F713" s="117"/>
      <c r="G713" s="117"/>
      <c r="H713" s="117"/>
      <c r="I713" s="117"/>
      <c r="J713" s="117"/>
      <c r="K713" s="117"/>
      <c r="L713" s="117"/>
      <c r="M713" s="117"/>
      <c r="N713" s="117"/>
      <c r="O713" s="117"/>
      <c r="P713" s="117"/>
      <c r="Q713" s="117"/>
      <c r="R713" s="117"/>
      <c r="S713" s="117"/>
      <c r="T713" s="117"/>
      <c r="U713" s="118"/>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19" t="s">
        <v>3935</v>
      </c>
      <c r="D715" s="120"/>
      <c r="E715" s="123" t="s">
        <v>162</v>
      </c>
      <c r="F715" s="36"/>
      <c r="G715" s="36"/>
      <c r="H715" s="36"/>
      <c r="I715" s="36"/>
      <c r="J715" s="36"/>
      <c r="M715" s="36"/>
      <c r="N715" s="36"/>
      <c r="O715" s="36"/>
      <c r="P715" s="36"/>
      <c r="Q715" s="36"/>
      <c r="R715" s="119" t="str">
        <f>"バックアップ_"&amp;SUBSTITUTE(C715,"_結合","")</f>
        <v>バックアップ_MML_検歴情報モジュール_検査項目</v>
      </c>
      <c r="S715" s="120"/>
      <c r="T715" s="125" t="str">
        <f>エンティティ一覧!$O$2</f>
        <v>milscm_2023_007</v>
      </c>
    </row>
    <row r="716" spans="2:23" ht="18.75" customHeight="1">
      <c r="C716" s="121"/>
      <c r="D716" s="122"/>
      <c r="E716" s="124"/>
      <c r="F716" s="37"/>
      <c r="G716" s="37"/>
      <c r="H716" s="37"/>
      <c r="I716" s="37"/>
      <c r="J716" s="37"/>
      <c r="K716" s="37"/>
      <c r="L716" s="37"/>
      <c r="M716" s="37"/>
      <c r="N716" s="37"/>
      <c r="O716" s="37"/>
      <c r="P716" s="37"/>
      <c r="Q716" s="37"/>
      <c r="R716" s="121"/>
      <c r="S716" s="122"/>
      <c r="T716" s="126"/>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3936</v>
      </c>
      <c r="D720" s="103"/>
      <c r="W720" s="35" t="str">
        <f>"-- "&amp;B720&amp;" : "&amp;C720</f>
        <v>-- SQL_ID : 01_A6-23</v>
      </c>
    </row>
    <row r="721" spans="2:23" ht="18.75" customHeight="1">
      <c r="B721" s="43" t="s">
        <v>158</v>
      </c>
      <c r="C721" s="127" t="str">
        <f>R724&amp;"登録"</f>
        <v>バックアップ_MML_検歴情報モジュール_検査項目コメント登録</v>
      </c>
      <c r="D721" s="128"/>
      <c r="E721" s="128"/>
      <c r="F721" s="128"/>
      <c r="G721" s="128"/>
      <c r="H721" s="128"/>
      <c r="I721" s="128"/>
      <c r="J721" s="128"/>
      <c r="K721" s="128"/>
      <c r="L721" s="128"/>
      <c r="M721" s="128"/>
      <c r="N721" s="128"/>
      <c r="O721" s="128"/>
      <c r="P721" s="128"/>
      <c r="Q721" s="128"/>
      <c r="R721" s="128"/>
      <c r="S721" s="128"/>
      <c r="T721" s="128"/>
      <c r="U721" s="129"/>
      <c r="W721" s="35" t="str">
        <f>"-- "&amp;C721</f>
        <v>-- バックアップ_MML_検歴情報モジュール_検査項目コメント登録</v>
      </c>
    </row>
    <row r="722" spans="2:23" ht="18.75" customHeight="1">
      <c r="B722" s="43" t="s">
        <v>159</v>
      </c>
      <c r="C722" s="116"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17"/>
      <c r="E722" s="117"/>
      <c r="F722" s="117"/>
      <c r="G722" s="117"/>
      <c r="H722" s="117"/>
      <c r="I722" s="117"/>
      <c r="J722" s="117"/>
      <c r="K722" s="117"/>
      <c r="L722" s="117"/>
      <c r="M722" s="117"/>
      <c r="N722" s="117"/>
      <c r="O722" s="117"/>
      <c r="P722" s="117"/>
      <c r="Q722" s="117"/>
      <c r="R722" s="117"/>
      <c r="S722" s="117"/>
      <c r="T722" s="117"/>
      <c r="U722" s="118"/>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19" t="s">
        <v>3937</v>
      </c>
      <c r="D724" s="120"/>
      <c r="E724" s="123" t="s">
        <v>162</v>
      </c>
      <c r="F724" s="36"/>
      <c r="G724" s="36"/>
      <c r="H724" s="36"/>
      <c r="I724" s="36"/>
      <c r="J724" s="36"/>
      <c r="M724" s="36"/>
      <c r="N724" s="36"/>
      <c r="O724" s="36"/>
      <c r="P724" s="36"/>
      <c r="Q724" s="36"/>
      <c r="R724" s="130" t="str">
        <f>"バックアップ_"&amp;SUBSTITUTE(C724,"_結合","")</f>
        <v>バックアップ_MML_検歴情報モジュール_検査項目コメント</v>
      </c>
      <c r="S724" s="131"/>
      <c r="T724" s="125" t="str">
        <f>エンティティ一覧!$O$2</f>
        <v>milscm_2023_007</v>
      </c>
    </row>
    <row r="725" spans="2:23" ht="18.75" customHeight="1">
      <c r="C725" s="121"/>
      <c r="D725" s="122"/>
      <c r="E725" s="124"/>
      <c r="F725" s="37"/>
      <c r="G725" s="37"/>
      <c r="H725" s="37"/>
      <c r="I725" s="37"/>
      <c r="J725" s="37"/>
      <c r="K725" s="37"/>
      <c r="L725" s="37"/>
      <c r="M725" s="37"/>
      <c r="N725" s="37"/>
      <c r="O725" s="37"/>
      <c r="P725" s="37"/>
      <c r="Q725" s="37"/>
      <c r="R725" s="132"/>
      <c r="S725" s="133"/>
      <c r="T725" s="126"/>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27" t="str">
        <f>R733&amp;"登録"</f>
        <v>バックアップ_MML_処方箋モジュール_本文登録</v>
      </c>
      <c r="D730" s="128"/>
      <c r="E730" s="128"/>
      <c r="F730" s="128"/>
      <c r="G730" s="128"/>
      <c r="H730" s="128"/>
      <c r="I730" s="128"/>
      <c r="J730" s="128"/>
      <c r="K730" s="128"/>
      <c r="L730" s="128"/>
      <c r="M730" s="128"/>
      <c r="N730" s="128"/>
      <c r="O730" s="128"/>
      <c r="P730" s="128"/>
      <c r="Q730" s="128"/>
      <c r="R730" s="128"/>
      <c r="S730" s="128"/>
      <c r="T730" s="128"/>
      <c r="U730" s="129"/>
      <c r="W730" s="35" t="str">
        <f>"-- "&amp;C730</f>
        <v>-- バックアップ_MML_処方箋モジュール_本文登録</v>
      </c>
    </row>
    <row r="731" spans="2:23" ht="18.75" customHeight="1">
      <c r="B731" s="43" t="s">
        <v>159</v>
      </c>
      <c r="C731" s="116"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17"/>
      <c r="E731" s="117"/>
      <c r="F731" s="117"/>
      <c r="G731" s="117"/>
      <c r="H731" s="117"/>
      <c r="I731" s="117"/>
      <c r="J731" s="117"/>
      <c r="K731" s="117"/>
      <c r="L731" s="117"/>
      <c r="M731" s="117"/>
      <c r="N731" s="117"/>
      <c r="O731" s="117"/>
      <c r="P731" s="117"/>
      <c r="Q731" s="117"/>
      <c r="R731" s="117"/>
      <c r="S731" s="117"/>
      <c r="T731" s="117"/>
      <c r="U731" s="118"/>
      <c r="W731" s="35" t="str">
        <f>"-- "&amp;C731</f>
        <v>-- MML_処方箋モジュール_本文テーブルから組入れ条件の第一条件で絞り込んだ結果をバックアップ_MML_処方箋モジュール_本文テーブルに格納する。</v>
      </c>
    </row>
    <row r="733" spans="2:23" ht="18.75" customHeight="1">
      <c r="C733" s="119" t="s">
        <v>3618</v>
      </c>
      <c r="D733" s="120"/>
      <c r="E733" s="123" t="s">
        <v>162</v>
      </c>
      <c r="H733" s="36"/>
      <c r="I733" s="36"/>
      <c r="J733" s="36"/>
      <c r="K733" s="36"/>
      <c r="L733" s="36"/>
      <c r="M733" s="36"/>
      <c r="N733" s="36"/>
      <c r="O733" s="36"/>
      <c r="P733" s="36"/>
      <c r="Q733" s="36"/>
      <c r="R733" s="119" t="str">
        <f>"バックアップ_"&amp;SUBSTITUTE(C733,"_結合","")</f>
        <v>バックアップ_MML_処方箋モジュール_本文</v>
      </c>
      <c r="S733" s="120"/>
      <c r="T733" s="125" t="str">
        <f>エンティティ一覧!$O$2</f>
        <v>milscm_2023_007</v>
      </c>
    </row>
    <row r="734" spans="2:23" ht="18.75" customHeight="1">
      <c r="C734" s="121"/>
      <c r="D734" s="122"/>
      <c r="E734" s="124"/>
      <c r="F734" s="37"/>
      <c r="G734" s="38"/>
      <c r="H734" s="37"/>
      <c r="I734" s="37"/>
      <c r="J734" s="37"/>
      <c r="K734" s="37"/>
      <c r="L734" s="37"/>
      <c r="M734" s="37"/>
      <c r="N734" s="37"/>
      <c r="O734" s="37"/>
      <c r="P734" s="37"/>
      <c r="Q734" s="37"/>
      <c r="R734" s="121"/>
      <c r="S734" s="122"/>
      <c r="T734" s="126"/>
    </row>
    <row r="735" spans="2:23" ht="18.75" customHeight="1">
      <c r="F735" s="39"/>
      <c r="G735" s="40"/>
    </row>
    <row r="736" spans="2:23" ht="18.75" customHeight="1">
      <c r="C736" s="119" t="s">
        <v>3188</v>
      </c>
      <c r="D736" s="120"/>
      <c r="E736" s="125" t="str">
        <f>エンティティ一覧!$O$2</f>
        <v>milscm_2023_007</v>
      </c>
      <c r="G736" s="41"/>
    </row>
    <row r="737" spans="2:23" ht="18.75" customHeight="1">
      <c r="C737" s="121"/>
      <c r="D737" s="122"/>
      <c r="E737" s="126"/>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27" t="str">
        <f>R745&amp;"登録"</f>
        <v>バックアップ_MML_処方箋モジュール_投薬登録</v>
      </c>
      <c r="D742" s="128"/>
      <c r="E742" s="128"/>
      <c r="F742" s="128"/>
      <c r="G742" s="128"/>
      <c r="H742" s="128"/>
      <c r="I742" s="128"/>
      <c r="J742" s="128"/>
      <c r="K742" s="128"/>
      <c r="L742" s="128"/>
      <c r="M742" s="128"/>
      <c r="N742" s="128"/>
      <c r="O742" s="128"/>
      <c r="P742" s="128"/>
      <c r="Q742" s="128"/>
      <c r="R742" s="128"/>
      <c r="S742" s="128"/>
      <c r="T742" s="128"/>
      <c r="U742" s="129"/>
      <c r="W742" s="35" t="str">
        <f>"-- "&amp;C742</f>
        <v>-- バックアップ_MML_処方箋モジュール_投薬登録</v>
      </c>
    </row>
    <row r="743" spans="2:23" ht="18.75" customHeight="1">
      <c r="B743" s="43" t="s">
        <v>159</v>
      </c>
      <c r="C743" s="116"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17"/>
      <c r="E743" s="117"/>
      <c r="F743" s="117"/>
      <c r="G743" s="117"/>
      <c r="H743" s="117"/>
      <c r="I743" s="117"/>
      <c r="J743" s="117"/>
      <c r="K743" s="117"/>
      <c r="L743" s="117"/>
      <c r="M743" s="117"/>
      <c r="N743" s="117"/>
      <c r="O743" s="117"/>
      <c r="P743" s="117"/>
      <c r="Q743" s="117"/>
      <c r="R743" s="117"/>
      <c r="S743" s="117"/>
      <c r="T743" s="117"/>
      <c r="U743" s="118"/>
      <c r="W743" s="35" t="str">
        <f>"-- "&amp;C743</f>
        <v>-- MML_処方箋モジュール_投薬テーブルから組入れ条件の第一条件で絞り込んだ結果をバックアップ_MML_処方箋モジュール_投薬テーブルに格納する。</v>
      </c>
    </row>
    <row r="745" spans="2:23" ht="18.75" customHeight="1">
      <c r="C745" s="119" t="s">
        <v>3620</v>
      </c>
      <c r="D745" s="120"/>
      <c r="E745" s="123" t="s">
        <v>162</v>
      </c>
      <c r="H745" s="36"/>
      <c r="I745" s="36"/>
      <c r="J745" s="36"/>
      <c r="K745" s="36"/>
      <c r="L745" s="36"/>
      <c r="M745" s="36"/>
      <c r="N745" s="36"/>
      <c r="O745" s="36"/>
      <c r="P745" s="36"/>
      <c r="Q745" s="36"/>
      <c r="R745" s="119" t="str">
        <f>"バックアップ_"&amp;SUBSTITUTE(C745,"_結合","")</f>
        <v>バックアップ_MML_処方箋モジュール_投薬</v>
      </c>
      <c r="S745" s="120"/>
      <c r="T745" s="125" t="str">
        <f>エンティティ一覧!$O$2</f>
        <v>milscm_2023_007</v>
      </c>
    </row>
    <row r="746" spans="2:23" ht="18.75" customHeight="1">
      <c r="C746" s="121"/>
      <c r="D746" s="122"/>
      <c r="E746" s="124"/>
      <c r="F746" s="37"/>
      <c r="G746" s="38"/>
      <c r="H746" s="37"/>
      <c r="I746" s="37"/>
      <c r="J746" s="37"/>
      <c r="K746" s="37"/>
      <c r="L746" s="37"/>
      <c r="M746" s="37"/>
      <c r="N746" s="37"/>
      <c r="O746" s="37"/>
      <c r="P746" s="37"/>
      <c r="Q746" s="37"/>
      <c r="R746" s="121"/>
      <c r="S746" s="122"/>
      <c r="T746" s="126"/>
    </row>
    <row r="747" spans="2:23" ht="18.75" customHeight="1">
      <c r="F747" s="39"/>
      <c r="G747" s="40"/>
    </row>
    <row r="748" spans="2:23" ht="18.75" customHeight="1">
      <c r="C748" s="119" t="s">
        <v>3188</v>
      </c>
      <c r="D748" s="120"/>
      <c r="E748" s="125" t="str">
        <f>エンティティ一覧!$O$2</f>
        <v>milscm_2023_007</v>
      </c>
      <c r="G748" s="41"/>
    </row>
    <row r="749" spans="2:23" ht="18.75" customHeight="1">
      <c r="C749" s="121"/>
      <c r="D749" s="122"/>
      <c r="E749" s="126"/>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27" t="str">
        <f>R757&amp;"登録"</f>
        <v>バックアップ_MML_処方箋モジュール_薬剤登録</v>
      </c>
      <c r="D754" s="128"/>
      <c r="E754" s="128"/>
      <c r="F754" s="128"/>
      <c r="G754" s="128"/>
      <c r="H754" s="128"/>
      <c r="I754" s="128"/>
      <c r="J754" s="128"/>
      <c r="K754" s="128"/>
      <c r="L754" s="128"/>
      <c r="M754" s="128"/>
      <c r="N754" s="128"/>
      <c r="O754" s="128"/>
      <c r="P754" s="128"/>
      <c r="Q754" s="128"/>
      <c r="R754" s="128"/>
      <c r="S754" s="128"/>
      <c r="T754" s="128"/>
      <c r="U754" s="129"/>
      <c r="W754" s="35" t="str">
        <f>"-- "&amp;C754</f>
        <v>-- バックアップ_MML_処方箋モジュール_薬剤登録</v>
      </c>
    </row>
    <row r="755" spans="2:23" ht="18.75" customHeight="1">
      <c r="B755" s="43" t="s">
        <v>159</v>
      </c>
      <c r="C755" s="116"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17"/>
      <c r="E755" s="117"/>
      <c r="F755" s="117"/>
      <c r="G755" s="117"/>
      <c r="H755" s="117"/>
      <c r="I755" s="117"/>
      <c r="J755" s="117"/>
      <c r="K755" s="117"/>
      <c r="L755" s="117"/>
      <c r="M755" s="117"/>
      <c r="N755" s="117"/>
      <c r="O755" s="117"/>
      <c r="P755" s="117"/>
      <c r="Q755" s="117"/>
      <c r="R755" s="117"/>
      <c r="S755" s="117"/>
      <c r="T755" s="117"/>
      <c r="U755" s="118"/>
      <c r="W755" s="35" t="str">
        <f>"-- "&amp;C755</f>
        <v>-- MML_処方箋モジュール_薬剤テーブルから組入れ条件の第一条件で絞り込んだ結果をバックアップ_MML_処方箋モジュール_薬剤テーブルに格納する。</v>
      </c>
    </row>
    <row r="757" spans="2:23" ht="18.75" customHeight="1">
      <c r="C757" s="119" t="s">
        <v>3622</v>
      </c>
      <c r="D757" s="120"/>
      <c r="E757" s="123" t="s">
        <v>162</v>
      </c>
      <c r="H757" s="36"/>
      <c r="I757" s="36"/>
      <c r="J757" s="36"/>
      <c r="K757" s="36"/>
      <c r="L757" s="36"/>
      <c r="M757" s="36"/>
      <c r="N757" s="36"/>
      <c r="O757" s="36"/>
      <c r="P757" s="36"/>
      <c r="Q757" s="36"/>
      <c r="R757" s="119" t="str">
        <f>"バックアップ_"&amp;SUBSTITUTE(C757,"_結合","")</f>
        <v>バックアップ_MML_処方箋モジュール_薬剤</v>
      </c>
      <c r="S757" s="120"/>
      <c r="T757" s="125" t="str">
        <f>エンティティ一覧!$O$2</f>
        <v>milscm_2023_007</v>
      </c>
    </row>
    <row r="758" spans="2:23" ht="18.75" customHeight="1">
      <c r="C758" s="121"/>
      <c r="D758" s="122"/>
      <c r="E758" s="124"/>
      <c r="F758" s="37"/>
      <c r="G758" s="38"/>
      <c r="H758" s="37"/>
      <c r="I758" s="37"/>
      <c r="J758" s="37"/>
      <c r="K758" s="37"/>
      <c r="L758" s="37"/>
      <c r="M758" s="37"/>
      <c r="N758" s="37"/>
      <c r="O758" s="37"/>
      <c r="P758" s="37"/>
      <c r="Q758" s="37"/>
      <c r="R758" s="121"/>
      <c r="S758" s="122"/>
      <c r="T758" s="126"/>
    </row>
    <row r="759" spans="2:23" ht="18.75" customHeight="1">
      <c r="F759" s="39"/>
      <c r="G759" s="40"/>
    </row>
    <row r="760" spans="2:23" ht="18.75" customHeight="1">
      <c r="C760" s="119" t="s">
        <v>3188</v>
      </c>
      <c r="D760" s="120"/>
      <c r="E760" s="125" t="str">
        <f>エンティティ一覧!$O$2</f>
        <v>milscm_2023_007</v>
      </c>
      <c r="G760" s="41"/>
    </row>
    <row r="761" spans="2:23" ht="18.75" customHeight="1">
      <c r="C761" s="121"/>
      <c r="D761" s="122"/>
      <c r="E761" s="126"/>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27" t="str">
        <f>R769&amp;"登録"</f>
        <v>バックアップ_MML_注射記録モジュール_本文登録</v>
      </c>
      <c r="D766" s="128"/>
      <c r="E766" s="128"/>
      <c r="F766" s="128"/>
      <c r="G766" s="128"/>
      <c r="H766" s="128"/>
      <c r="I766" s="128"/>
      <c r="J766" s="128"/>
      <c r="K766" s="128"/>
      <c r="L766" s="128"/>
      <c r="M766" s="128"/>
      <c r="N766" s="128"/>
      <c r="O766" s="128"/>
      <c r="P766" s="128"/>
      <c r="Q766" s="128"/>
      <c r="R766" s="128"/>
      <c r="S766" s="128"/>
      <c r="T766" s="128"/>
      <c r="U766" s="129"/>
      <c r="W766" s="35" t="str">
        <f>"-- "&amp;C766</f>
        <v>-- バックアップ_MML_注射記録モジュール_本文登録</v>
      </c>
    </row>
    <row r="767" spans="2:23" ht="18.75" customHeight="1">
      <c r="B767" s="43" t="s">
        <v>159</v>
      </c>
      <c r="C767" s="116"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17"/>
      <c r="E767" s="117"/>
      <c r="F767" s="117"/>
      <c r="G767" s="117"/>
      <c r="H767" s="117"/>
      <c r="I767" s="117"/>
      <c r="J767" s="117"/>
      <c r="K767" s="117"/>
      <c r="L767" s="117"/>
      <c r="M767" s="117"/>
      <c r="N767" s="117"/>
      <c r="O767" s="117"/>
      <c r="P767" s="117"/>
      <c r="Q767" s="117"/>
      <c r="R767" s="117"/>
      <c r="S767" s="117"/>
      <c r="T767" s="117"/>
      <c r="U767" s="118"/>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19" t="s">
        <v>3624</v>
      </c>
      <c r="D769" s="120"/>
      <c r="E769" s="123" t="s">
        <v>162</v>
      </c>
      <c r="H769" s="36"/>
      <c r="I769" s="36"/>
      <c r="J769" s="36"/>
      <c r="K769" s="36"/>
      <c r="L769" s="36"/>
      <c r="M769" s="36"/>
      <c r="N769" s="36"/>
      <c r="O769" s="36"/>
      <c r="P769" s="36"/>
      <c r="Q769" s="36"/>
      <c r="R769" s="119" t="str">
        <f>"バックアップ_"&amp;SUBSTITUTE(C769,"_結合","")</f>
        <v>バックアップ_MML_注射記録モジュール_本文</v>
      </c>
      <c r="S769" s="120"/>
      <c r="T769" s="125" t="str">
        <f>エンティティ一覧!$O$2</f>
        <v>milscm_2023_007</v>
      </c>
    </row>
    <row r="770" spans="2:23" ht="18.75" customHeight="1">
      <c r="C770" s="121"/>
      <c r="D770" s="122"/>
      <c r="E770" s="124"/>
      <c r="F770" s="37"/>
      <c r="G770" s="38"/>
      <c r="H770" s="37"/>
      <c r="I770" s="37"/>
      <c r="J770" s="37"/>
      <c r="K770" s="37"/>
      <c r="L770" s="37"/>
      <c r="M770" s="37"/>
      <c r="N770" s="37"/>
      <c r="O770" s="37"/>
      <c r="P770" s="37"/>
      <c r="Q770" s="37"/>
      <c r="R770" s="121"/>
      <c r="S770" s="122"/>
      <c r="T770" s="126"/>
    </row>
    <row r="771" spans="2:23" ht="18.75" customHeight="1">
      <c r="F771" s="39"/>
      <c r="G771" s="40"/>
    </row>
    <row r="772" spans="2:23" ht="18.75" customHeight="1">
      <c r="C772" s="119" t="s">
        <v>3188</v>
      </c>
      <c r="D772" s="120"/>
      <c r="E772" s="125" t="str">
        <f>エンティティ一覧!$O$2</f>
        <v>milscm_2023_007</v>
      </c>
      <c r="G772" s="41"/>
    </row>
    <row r="773" spans="2:23" ht="18.75" customHeight="1">
      <c r="C773" s="121"/>
      <c r="D773" s="122"/>
      <c r="E773" s="126"/>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27" t="str">
        <f>R781&amp;"登録"</f>
        <v>バックアップ_MML_注射記録モジュール_投薬登録</v>
      </c>
      <c r="D778" s="128"/>
      <c r="E778" s="128"/>
      <c r="F778" s="128"/>
      <c r="G778" s="128"/>
      <c r="H778" s="128"/>
      <c r="I778" s="128"/>
      <c r="J778" s="128"/>
      <c r="K778" s="128"/>
      <c r="L778" s="128"/>
      <c r="M778" s="128"/>
      <c r="N778" s="128"/>
      <c r="O778" s="128"/>
      <c r="P778" s="128"/>
      <c r="Q778" s="128"/>
      <c r="R778" s="128"/>
      <c r="S778" s="128"/>
      <c r="T778" s="128"/>
      <c r="U778" s="129"/>
      <c r="W778" s="35" t="str">
        <f>"-- "&amp;C778</f>
        <v>-- バックアップ_MML_注射記録モジュール_投薬登録</v>
      </c>
    </row>
    <row r="779" spans="2:23" ht="18.75" customHeight="1">
      <c r="B779" s="43" t="s">
        <v>159</v>
      </c>
      <c r="C779" s="116"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17"/>
      <c r="E779" s="117"/>
      <c r="F779" s="117"/>
      <c r="G779" s="117"/>
      <c r="H779" s="117"/>
      <c r="I779" s="117"/>
      <c r="J779" s="117"/>
      <c r="K779" s="117"/>
      <c r="L779" s="117"/>
      <c r="M779" s="117"/>
      <c r="N779" s="117"/>
      <c r="O779" s="117"/>
      <c r="P779" s="117"/>
      <c r="Q779" s="117"/>
      <c r="R779" s="117"/>
      <c r="S779" s="117"/>
      <c r="T779" s="117"/>
      <c r="U779" s="118"/>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19" t="s">
        <v>3626</v>
      </c>
      <c r="D781" s="120"/>
      <c r="E781" s="123" t="s">
        <v>162</v>
      </c>
      <c r="H781" s="36"/>
      <c r="I781" s="36"/>
      <c r="J781" s="36"/>
      <c r="K781" s="36"/>
      <c r="L781" s="36"/>
      <c r="M781" s="36"/>
      <c r="N781" s="36"/>
      <c r="O781" s="36"/>
      <c r="P781" s="36"/>
      <c r="Q781" s="36"/>
      <c r="R781" s="119" t="str">
        <f>"バックアップ_"&amp;SUBSTITUTE(C781,"_結合","")</f>
        <v>バックアップ_MML_注射記録モジュール_投薬</v>
      </c>
      <c r="S781" s="120"/>
      <c r="T781" s="125" t="str">
        <f>エンティティ一覧!$O$2</f>
        <v>milscm_2023_007</v>
      </c>
    </row>
    <row r="782" spans="2:23" ht="18.75" customHeight="1">
      <c r="C782" s="121"/>
      <c r="D782" s="122"/>
      <c r="E782" s="124"/>
      <c r="F782" s="37"/>
      <c r="G782" s="38"/>
      <c r="H782" s="37"/>
      <c r="I782" s="37"/>
      <c r="J782" s="37"/>
      <c r="K782" s="37"/>
      <c r="L782" s="37"/>
      <c r="M782" s="37"/>
      <c r="N782" s="37"/>
      <c r="O782" s="37"/>
      <c r="P782" s="37"/>
      <c r="Q782" s="37"/>
      <c r="R782" s="121"/>
      <c r="S782" s="122"/>
      <c r="T782" s="126"/>
    </row>
    <row r="783" spans="2:23" ht="18.75" customHeight="1">
      <c r="F783" s="39"/>
      <c r="G783" s="40"/>
    </row>
    <row r="784" spans="2:23" ht="18.75" customHeight="1">
      <c r="C784" s="119" t="s">
        <v>3188</v>
      </c>
      <c r="D784" s="120"/>
      <c r="E784" s="125" t="str">
        <f>エンティティ一覧!$O$2</f>
        <v>milscm_2023_007</v>
      </c>
      <c r="G784" s="41"/>
    </row>
    <row r="785" spans="2:23" ht="18.75" customHeight="1">
      <c r="C785" s="121"/>
      <c r="D785" s="122"/>
      <c r="E785" s="126"/>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27" t="str">
        <f>R793&amp;"登録"</f>
        <v>バックアップ_MML_注射記録モジュール_薬剤登録</v>
      </c>
      <c r="D790" s="128"/>
      <c r="E790" s="128"/>
      <c r="F790" s="128"/>
      <c r="G790" s="128"/>
      <c r="H790" s="128"/>
      <c r="I790" s="128"/>
      <c r="J790" s="128"/>
      <c r="K790" s="128"/>
      <c r="L790" s="128"/>
      <c r="M790" s="128"/>
      <c r="N790" s="128"/>
      <c r="O790" s="128"/>
      <c r="P790" s="128"/>
      <c r="Q790" s="128"/>
      <c r="R790" s="128"/>
      <c r="S790" s="128"/>
      <c r="T790" s="128"/>
      <c r="U790" s="129"/>
      <c r="W790" s="35" t="str">
        <f>"-- "&amp;C790</f>
        <v>-- バックアップ_MML_注射記録モジュール_薬剤登録</v>
      </c>
    </row>
    <row r="791" spans="2:23" ht="18.75" customHeight="1">
      <c r="B791" s="43" t="s">
        <v>159</v>
      </c>
      <c r="C791" s="116"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17"/>
      <c r="E791" s="117"/>
      <c r="F791" s="117"/>
      <c r="G791" s="117"/>
      <c r="H791" s="117"/>
      <c r="I791" s="117"/>
      <c r="J791" s="117"/>
      <c r="K791" s="117"/>
      <c r="L791" s="117"/>
      <c r="M791" s="117"/>
      <c r="N791" s="117"/>
      <c r="O791" s="117"/>
      <c r="P791" s="117"/>
      <c r="Q791" s="117"/>
      <c r="R791" s="117"/>
      <c r="S791" s="117"/>
      <c r="T791" s="117"/>
      <c r="U791" s="118"/>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19" t="s">
        <v>3628</v>
      </c>
      <c r="D793" s="120"/>
      <c r="E793" s="123" t="s">
        <v>162</v>
      </c>
      <c r="H793" s="36"/>
      <c r="I793" s="36"/>
      <c r="J793" s="36"/>
      <c r="K793" s="36"/>
      <c r="L793" s="36"/>
      <c r="M793" s="36"/>
      <c r="N793" s="36"/>
      <c r="O793" s="36"/>
      <c r="P793" s="36"/>
      <c r="Q793" s="36"/>
      <c r="R793" s="119" t="str">
        <f>"バックアップ_"&amp;SUBSTITUTE(C793,"_結合","")</f>
        <v>バックアップ_MML_注射記録モジュール_薬剤</v>
      </c>
      <c r="S793" s="120"/>
      <c r="T793" s="125" t="str">
        <f>エンティティ一覧!$O$2</f>
        <v>milscm_2023_007</v>
      </c>
    </row>
    <row r="794" spans="2:23" ht="18.75" customHeight="1">
      <c r="C794" s="121"/>
      <c r="D794" s="122"/>
      <c r="E794" s="124"/>
      <c r="F794" s="37"/>
      <c r="G794" s="38"/>
      <c r="H794" s="37"/>
      <c r="I794" s="37"/>
      <c r="J794" s="37"/>
      <c r="K794" s="37"/>
      <c r="L794" s="37"/>
      <c r="M794" s="37"/>
      <c r="N794" s="37"/>
      <c r="O794" s="37"/>
      <c r="P794" s="37"/>
      <c r="Q794" s="37"/>
      <c r="R794" s="121"/>
      <c r="S794" s="122"/>
      <c r="T794" s="126"/>
    </row>
    <row r="795" spans="2:23" ht="18.75" customHeight="1">
      <c r="F795" s="39"/>
      <c r="G795" s="40"/>
    </row>
    <row r="796" spans="2:23" ht="18.75" customHeight="1">
      <c r="C796" s="119" t="s">
        <v>3188</v>
      </c>
      <c r="D796" s="120"/>
      <c r="E796" s="125" t="str">
        <f>エンティティ一覧!$O$2</f>
        <v>milscm_2023_007</v>
      </c>
      <c r="G796" s="41"/>
    </row>
    <row r="797" spans="2:23" ht="18.75" customHeight="1">
      <c r="C797" s="121"/>
      <c r="D797" s="122"/>
      <c r="E797" s="126"/>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27" t="str">
        <f>R805&amp;"登録"</f>
        <v>バックアップ_MML_手術モジュール_手術項目登録</v>
      </c>
      <c r="D802" s="128"/>
      <c r="E802" s="128"/>
      <c r="F802" s="128"/>
      <c r="G802" s="128"/>
      <c r="H802" s="128"/>
      <c r="I802" s="128"/>
      <c r="J802" s="128"/>
      <c r="K802" s="128"/>
      <c r="L802" s="128"/>
      <c r="M802" s="128"/>
      <c r="N802" s="128"/>
      <c r="O802" s="128"/>
      <c r="P802" s="128"/>
      <c r="Q802" s="128"/>
      <c r="R802" s="128"/>
      <c r="S802" s="128"/>
      <c r="T802" s="128"/>
      <c r="U802" s="129"/>
      <c r="W802" s="35" t="str">
        <f>"-- "&amp;C802</f>
        <v>-- バックアップ_MML_手術モジュール_手術項目登録</v>
      </c>
    </row>
    <row r="803" spans="2:23" ht="18.75" customHeight="1">
      <c r="B803" s="43" t="s">
        <v>159</v>
      </c>
      <c r="C803" s="116"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17"/>
      <c r="E803" s="117"/>
      <c r="F803" s="117"/>
      <c r="G803" s="117"/>
      <c r="H803" s="117"/>
      <c r="I803" s="117"/>
      <c r="J803" s="117"/>
      <c r="K803" s="117"/>
      <c r="L803" s="117"/>
      <c r="M803" s="117"/>
      <c r="N803" s="117"/>
      <c r="O803" s="117"/>
      <c r="P803" s="117"/>
      <c r="Q803" s="117"/>
      <c r="R803" s="117"/>
      <c r="S803" s="117"/>
      <c r="T803" s="117"/>
      <c r="U803" s="118"/>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19" t="s">
        <v>3630</v>
      </c>
      <c r="D805" s="120"/>
      <c r="E805" s="123" t="s">
        <v>162</v>
      </c>
      <c r="H805" s="36"/>
      <c r="I805" s="36"/>
      <c r="J805" s="36"/>
      <c r="K805" s="36"/>
      <c r="L805" s="36"/>
      <c r="M805" s="36"/>
      <c r="N805" s="36"/>
      <c r="O805" s="36"/>
      <c r="P805" s="36"/>
      <c r="Q805" s="36"/>
      <c r="R805" s="119" t="str">
        <f>"バックアップ_"&amp;SUBSTITUTE(C805,"_結合","")</f>
        <v>バックアップ_MML_手術モジュール_手術項目</v>
      </c>
      <c r="S805" s="120"/>
      <c r="T805" s="125" t="str">
        <f>エンティティ一覧!$O$2</f>
        <v>milscm_2023_007</v>
      </c>
    </row>
    <row r="806" spans="2:23" ht="18.75" customHeight="1">
      <c r="C806" s="121"/>
      <c r="D806" s="122"/>
      <c r="E806" s="124"/>
      <c r="F806" s="37"/>
      <c r="G806" s="38"/>
      <c r="H806" s="37"/>
      <c r="I806" s="37"/>
      <c r="J806" s="37"/>
      <c r="K806" s="37"/>
      <c r="L806" s="37"/>
      <c r="M806" s="37"/>
      <c r="N806" s="37"/>
      <c r="O806" s="37"/>
      <c r="P806" s="37"/>
      <c r="Q806" s="37"/>
      <c r="R806" s="121"/>
      <c r="S806" s="122"/>
      <c r="T806" s="126"/>
    </row>
    <row r="807" spans="2:23" ht="18.75" customHeight="1">
      <c r="F807" s="39"/>
      <c r="G807" s="40"/>
    </row>
    <row r="808" spans="2:23" ht="18.75" customHeight="1">
      <c r="C808" s="119" t="s">
        <v>3188</v>
      </c>
      <c r="D808" s="120"/>
      <c r="E808" s="125" t="str">
        <f>エンティティ一覧!$O$2</f>
        <v>milscm_2023_007</v>
      </c>
      <c r="G808" s="41"/>
    </row>
    <row r="809" spans="2:23" ht="18.75" customHeight="1">
      <c r="C809" s="121"/>
      <c r="D809" s="122"/>
      <c r="E809" s="126"/>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27" t="str">
        <f>R817&amp;"登録"</f>
        <v>バックアップ_MML_手術モジュール_診療科情報登録</v>
      </c>
      <c r="D814" s="128"/>
      <c r="E814" s="128"/>
      <c r="F814" s="128"/>
      <c r="G814" s="128"/>
      <c r="H814" s="128"/>
      <c r="I814" s="128"/>
      <c r="J814" s="128"/>
      <c r="K814" s="128"/>
      <c r="L814" s="128"/>
      <c r="M814" s="128"/>
      <c r="N814" s="128"/>
      <c r="O814" s="128"/>
      <c r="P814" s="128"/>
      <c r="Q814" s="128"/>
      <c r="R814" s="128"/>
      <c r="S814" s="128"/>
      <c r="T814" s="128"/>
      <c r="U814" s="129"/>
      <c r="W814" s="35" t="str">
        <f>"-- "&amp;C814</f>
        <v>-- バックアップ_MML_手術モジュール_診療科情報登録</v>
      </c>
    </row>
    <row r="815" spans="2:23" ht="18.75" customHeight="1">
      <c r="B815" s="43" t="s">
        <v>159</v>
      </c>
      <c r="C815" s="116"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17"/>
      <c r="E815" s="117"/>
      <c r="F815" s="117"/>
      <c r="G815" s="117"/>
      <c r="H815" s="117"/>
      <c r="I815" s="117"/>
      <c r="J815" s="117"/>
      <c r="K815" s="117"/>
      <c r="L815" s="117"/>
      <c r="M815" s="117"/>
      <c r="N815" s="117"/>
      <c r="O815" s="117"/>
      <c r="P815" s="117"/>
      <c r="Q815" s="117"/>
      <c r="R815" s="117"/>
      <c r="S815" s="117"/>
      <c r="T815" s="117"/>
      <c r="U815" s="118"/>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19" t="s">
        <v>3632</v>
      </c>
      <c r="D817" s="120"/>
      <c r="E817" s="123" t="s">
        <v>162</v>
      </c>
      <c r="H817" s="36"/>
      <c r="I817" s="36"/>
      <c r="J817" s="36"/>
      <c r="K817" s="36"/>
      <c r="L817" s="36"/>
      <c r="M817" s="36"/>
      <c r="N817" s="36"/>
      <c r="O817" s="36"/>
      <c r="P817" s="36"/>
      <c r="Q817" s="36"/>
      <c r="R817" s="119" t="str">
        <f>"バックアップ_"&amp;SUBSTITUTE(C817,"_結合","")</f>
        <v>バックアップ_MML_手術モジュール_診療科情報</v>
      </c>
      <c r="S817" s="120"/>
      <c r="T817" s="125" t="str">
        <f>エンティティ一覧!$O$2</f>
        <v>milscm_2023_007</v>
      </c>
    </row>
    <row r="818" spans="2:23" ht="18.75" customHeight="1">
      <c r="C818" s="121"/>
      <c r="D818" s="122"/>
      <c r="E818" s="124"/>
      <c r="F818" s="37"/>
      <c r="G818" s="38"/>
      <c r="H818" s="37"/>
      <c r="I818" s="37"/>
      <c r="J818" s="37"/>
      <c r="K818" s="37"/>
      <c r="L818" s="37"/>
      <c r="M818" s="37"/>
      <c r="N818" s="37"/>
      <c r="O818" s="37"/>
      <c r="P818" s="37"/>
      <c r="Q818" s="37"/>
      <c r="R818" s="121"/>
      <c r="S818" s="122"/>
      <c r="T818" s="126"/>
    </row>
    <row r="819" spans="2:23" ht="18.75" customHeight="1">
      <c r="F819" s="39"/>
      <c r="G819" s="40"/>
    </row>
    <row r="820" spans="2:23" ht="18.75" customHeight="1">
      <c r="C820" s="119" t="s">
        <v>3188</v>
      </c>
      <c r="D820" s="120"/>
      <c r="E820" s="125" t="str">
        <f>エンティティ一覧!$O$2</f>
        <v>milscm_2023_007</v>
      </c>
      <c r="G820" s="41"/>
    </row>
    <row r="821" spans="2:23" ht="18.75" customHeight="1">
      <c r="C821" s="121"/>
      <c r="D821" s="122"/>
      <c r="E821" s="126"/>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27" t="str">
        <f>R829&amp;"登録"</f>
        <v>バックアップ_MML_手術モジュール_診断履歴情報登録</v>
      </c>
      <c r="D826" s="128"/>
      <c r="E826" s="128"/>
      <c r="F826" s="128"/>
      <c r="G826" s="128"/>
      <c r="H826" s="128"/>
      <c r="I826" s="128"/>
      <c r="J826" s="128"/>
      <c r="K826" s="128"/>
      <c r="L826" s="128"/>
      <c r="M826" s="128"/>
      <c r="N826" s="128"/>
      <c r="O826" s="128"/>
      <c r="P826" s="128"/>
      <c r="Q826" s="128"/>
      <c r="R826" s="128"/>
      <c r="S826" s="128"/>
      <c r="T826" s="128"/>
      <c r="U826" s="129"/>
      <c r="W826" s="35" t="str">
        <f>"-- "&amp;C826</f>
        <v>-- バックアップ_MML_手術モジュール_診断履歴情報登録</v>
      </c>
    </row>
    <row r="827" spans="2:23" ht="18.75" customHeight="1">
      <c r="B827" s="43" t="s">
        <v>159</v>
      </c>
      <c r="C827" s="116"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17"/>
      <c r="E827" s="117"/>
      <c r="F827" s="117"/>
      <c r="G827" s="117"/>
      <c r="H827" s="117"/>
      <c r="I827" s="117"/>
      <c r="J827" s="117"/>
      <c r="K827" s="117"/>
      <c r="L827" s="117"/>
      <c r="M827" s="117"/>
      <c r="N827" s="117"/>
      <c r="O827" s="117"/>
      <c r="P827" s="117"/>
      <c r="Q827" s="117"/>
      <c r="R827" s="117"/>
      <c r="S827" s="117"/>
      <c r="T827" s="117"/>
      <c r="U827" s="118"/>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19" t="s">
        <v>3634</v>
      </c>
      <c r="D829" s="120"/>
      <c r="E829" s="123" t="s">
        <v>162</v>
      </c>
      <c r="H829" s="36"/>
      <c r="I829" s="36"/>
      <c r="J829" s="36"/>
      <c r="K829" s="36"/>
      <c r="L829" s="36"/>
      <c r="M829" s="36"/>
      <c r="N829" s="36"/>
      <c r="O829" s="36"/>
      <c r="P829" s="36"/>
      <c r="Q829" s="36"/>
      <c r="R829" s="119" t="str">
        <f>"バックアップ_"&amp;SUBSTITUTE(C829,"_結合","")</f>
        <v>バックアップ_MML_手術モジュール_診断履歴情報</v>
      </c>
      <c r="S829" s="120"/>
      <c r="T829" s="125" t="str">
        <f>エンティティ一覧!$O$2</f>
        <v>milscm_2023_007</v>
      </c>
    </row>
    <row r="830" spans="2:23" ht="18.75" customHeight="1">
      <c r="C830" s="121"/>
      <c r="D830" s="122"/>
      <c r="E830" s="124"/>
      <c r="F830" s="37"/>
      <c r="G830" s="38"/>
      <c r="H830" s="37"/>
      <c r="I830" s="37"/>
      <c r="J830" s="37"/>
      <c r="K830" s="37"/>
      <c r="L830" s="37"/>
      <c r="M830" s="37"/>
      <c r="N830" s="37"/>
      <c r="O830" s="37"/>
      <c r="P830" s="37"/>
      <c r="Q830" s="37"/>
      <c r="R830" s="121"/>
      <c r="S830" s="122"/>
      <c r="T830" s="126"/>
    </row>
    <row r="831" spans="2:23" ht="18.75" customHeight="1">
      <c r="F831" s="39"/>
      <c r="G831" s="40"/>
    </row>
    <row r="832" spans="2:23" ht="18.75" customHeight="1">
      <c r="C832" s="119" t="s">
        <v>3188</v>
      </c>
      <c r="D832" s="120"/>
      <c r="E832" s="125" t="str">
        <f>エンティティ一覧!$O$2</f>
        <v>milscm_2023_007</v>
      </c>
      <c r="G832" s="41"/>
    </row>
    <row r="833" spans="2:23" ht="18.75" customHeight="1">
      <c r="C833" s="121"/>
      <c r="D833" s="122"/>
      <c r="E833" s="126"/>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27" t="str">
        <f>R841&amp;"登録"</f>
        <v>バックアップ_MML_手術モジュール_病名登録</v>
      </c>
      <c r="D838" s="128"/>
      <c r="E838" s="128"/>
      <c r="F838" s="128"/>
      <c r="G838" s="128"/>
      <c r="H838" s="128"/>
      <c r="I838" s="128"/>
      <c r="J838" s="128"/>
      <c r="K838" s="128"/>
      <c r="L838" s="128"/>
      <c r="M838" s="128"/>
      <c r="N838" s="128"/>
      <c r="O838" s="128"/>
      <c r="P838" s="128"/>
      <c r="Q838" s="128"/>
      <c r="R838" s="128"/>
      <c r="S838" s="128"/>
      <c r="T838" s="128"/>
      <c r="U838" s="129"/>
      <c r="W838" s="35" t="str">
        <f>"-- "&amp;C838</f>
        <v>-- バックアップ_MML_手術モジュール_病名登録</v>
      </c>
    </row>
    <row r="839" spans="2:23" ht="18.75" customHeight="1">
      <c r="B839" s="43" t="s">
        <v>159</v>
      </c>
      <c r="C839" s="116"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17"/>
      <c r="E839" s="117"/>
      <c r="F839" s="117"/>
      <c r="G839" s="117"/>
      <c r="H839" s="117"/>
      <c r="I839" s="117"/>
      <c r="J839" s="117"/>
      <c r="K839" s="117"/>
      <c r="L839" s="117"/>
      <c r="M839" s="117"/>
      <c r="N839" s="117"/>
      <c r="O839" s="117"/>
      <c r="P839" s="117"/>
      <c r="Q839" s="117"/>
      <c r="R839" s="117"/>
      <c r="S839" s="117"/>
      <c r="T839" s="117"/>
      <c r="U839" s="118"/>
      <c r="W839" s="35" t="str">
        <f>"-- "&amp;C839</f>
        <v>-- MML_手術モジュール_病名テーブルから組入れ条件の第一条件で絞り込んだ結果をバックアップ_MML_手術モジュール_病名テーブルに格納する。</v>
      </c>
    </row>
    <row r="841" spans="2:23" ht="18.75" customHeight="1">
      <c r="C841" s="119" t="s">
        <v>3636</v>
      </c>
      <c r="D841" s="120"/>
      <c r="E841" s="123" t="s">
        <v>162</v>
      </c>
      <c r="H841" s="36"/>
      <c r="I841" s="36"/>
      <c r="J841" s="36"/>
      <c r="K841" s="36"/>
      <c r="L841" s="36"/>
      <c r="M841" s="36"/>
      <c r="N841" s="36"/>
      <c r="O841" s="36"/>
      <c r="P841" s="36"/>
      <c r="Q841" s="36"/>
      <c r="R841" s="119" t="str">
        <f>"バックアップ_"&amp;SUBSTITUTE(C841,"_結合","")</f>
        <v>バックアップ_MML_手術モジュール_病名</v>
      </c>
      <c r="S841" s="120"/>
      <c r="T841" s="125" t="str">
        <f>エンティティ一覧!$O$2</f>
        <v>milscm_2023_007</v>
      </c>
    </row>
    <row r="842" spans="2:23" ht="18.75" customHeight="1">
      <c r="C842" s="121"/>
      <c r="D842" s="122"/>
      <c r="E842" s="124"/>
      <c r="F842" s="37"/>
      <c r="G842" s="38"/>
      <c r="H842" s="37"/>
      <c r="I842" s="37"/>
      <c r="J842" s="37"/>
      <c r="K842" s="37"/>
      <c r="L842" s="37"/>
      <c r="M842" s="37"/>
      <c r="N842" s="37"/>
      <c r="O842" s="37"/>
      <c r="P842" s="37"/>
      <c r="Q842" s="37"/>
      <c r="R842" s="121"/>
      <c r="S842" s="122"/>
      <c r="T842" s="126"/>
    </row>
    <row r="843" spans="2:23" ht="18.75" customHeight="1">
      <c r="F843" s="39"/>
      <c r="G843" s="40"/>
    </row>
    <row r="844" spans="2:23" ht="18.75" customHeight="1">
      <c r="C844" s="119" t="s">
        <v>3188</v>
      </c>
      <c r="D844" s="120"/>
      <c r="E844" s="125" t="str">
        <f>エンティティ一覧!$O$2</f>
        <v>milscm_2023_007</v>
      </c>
      <c r="G844" s="41"/>
    </row>
    <row r="845" spans="2:23" ht="18.75" customHeight="1">
      <c r="C845" s="121"/>
      <c r="D845" s="122"/>
      <c r="E845" s="126"/>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27" t="str">
        <f>R853&amp;"登録"</f>
        <v>バックアップ_MML_手術モジュール_カテゴリ名登録</v>
      </c>
      <c r="D850" s="128"/>
      <c r="E850" s="128"/>
      <c r="F850" s="128"/>
      <c r="G850" s="128"/>
      <c r="H850" s="128"/>
      <c r="I850" s="128"/>
      <c r="J850" s="128"/>
      <c r="K850" s="128"/>
      <c r="L850" s="128"/>
      <c r="M850" s="128"/>
      <c r="N850" s="128"/>
      <c r="O850" s="128"/>
      <c r="P850" s="128"/>
      <c r="Q850" s="128"/>
      <c r="R850" s="128"/>
      <c r="S850" s="128"/>
      <c r="T850" s="128"/>
      <c r="U850" s="129"/>
      <c r="W850" s="35" t="str">
        <f>"-- "&amp;C850</f>
        <v>-- バックアップ_MML_手術モジュール_カテゴリ名登録</v>
      </c>
    </row>
    <row r="851" spans="2:23" ht="18.75" customHeight="1">
      <c r="B851" s="43" t="s">
        <v>159</v>
      </c>
      <c r="C851" s="116"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17"/>
      <c r="E851" s="117"/>
      <c r="F851" s="117"/>
      <c r="G851" s="117"/>
      <c r="H851" s="117"/>
      <c r="I851" s="117"/>
      <c r="J851" s="117"/>
      <c r="K851" s="117"/>
      <c r="L851" s="117"/>
      <c r="M851" s="117"/>
      <c r="N851" s="117"/>
      <c r="O851" s="117"/>
      <c r="P851" s="117"/>
      <c r="Q851" s="117"/>
      <c r="R851" s="117"/>
      <c r="S851" s="117"/>
      <c r="T851" s="117"/>
      <c r="U851" s="118"/>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19" t="s">
        <v>3638</v>
      </c>
      <c r="D853" s="120"/>
      <c r="E853" s="123" t="s">
        <v>162</v>
      </c>
      <c r="H853" s="36"/>
      <c r="I853" s="36"/>
      <c r="J853" s="36"/>
      <c r="K853" s="36"/>
      <c r="L853" s="36"/>
      <c r="M853" s="36"/>
      <c r="N853" s="36"/>
      <c r="O853" s="36"/>
      <c r="P853" s="36"/>
      <c r="Q853" s="36"/>
      <c r="R853" s="119" t="str">
        <f>"バックアップ_"&amp;SUBSTITUTE(C853,"_結合","")</f>
        <v>バックアップ_MML_手術モジュール_カテゴリ名</v>
      </c>
      <c r="S853" s="120"/>
      <c r="T853" s="125" t="str">
        <f>エンティティ一覧!$O$2</f>
        <v>milscm_2023_007</v>
      </c>
    </row>
    <row r="854" spans="2:23" ht="18.75" customHeight="1">
      <c r="C854" s="121"/>
      <c r="D854" s="122"/>
      <c r="E854" s="124"/>
      <c r="F854" s="37"/>
      <c r="G854" s="38"/>
      <c r="H854" s="37"/>
      <c r="I854" s="37"/>
      <c r="J854" s="37"/>
      <c r="K854" s="37"/>
      <c r="L854" s="37"/>
      <c r="M854" s="37"/>
      <c r="N854" s="37"/>
      <c r="O854" s="37"/>
      <c r="P854" s="37"/>
      <c r="Q854" s="37"/>
      <c r="R854" s="121"/>
      <c r="S854" s="122"/>
      <c r="T854" s="126"/>
    </row>
    <row r="855" spans="2:23" ht="18.75" customHeight="1">
      <c r="F855" s="39"/>
      <c r="G855" s="40"/>
    </row>
    <row r="856" spans="2:23" ht="18.75" customHeight="1">
      <c r="C856" s="119" t="s">
        <v>3188</v>
      </c>
      <c r="D856" s="120"/>
      <c r="E856" s="125" t="str">
        <f>エンティティ一覧!$O$2</f>
        <v>milscm_2023_007</v>
      </c>
      <c r="G856" s="41"/>
    </row>
    <row r="857" spans="2:23" ht="18.75" customHeight="1">
      <c r="C857" s="121"/>
      <c r="D857" s="122"/>
      <c r="E857" s="126"/>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27" t="str">
        <f>R865&amp;"登録"</f>
        <v>バックアップ_MML_手術モジュール_手術法登録</v>
      </c>
      <c r="D862" s="128"/>
      <c r="E862" s="128"/>
      <c r="F862" s="128"/>
      <c r="G862" s="128"/>
      <c r="H862" s="128"/>
      <c r="I862" s="128"/>
      <c r="J862" s="128"/>
      <c r="K862" s="128"/>
      <c r="L862" s="128"/>
      <c r="M862" s="128"/>
      <c r="N862" s="128"/>
      <c r="O862" s="128"/>
      <c r="P862" s="128"/>
      <c r="Q862" s="128"/>
      <c r="R862" s="128"/>
      <c r="S862" s="128"/>
      <c r="T862" s="128"/>
      <c r="U862" s="129"/>
      <c r="W862" s="35" t="str">
        <f>"-- "&amp;C862</f>
        <v>-- バックアップ_MML_手術モジュール_手術法登録</v>
      </c>
    </row>
    <row r="863" spans="2:23" ht="18.75" customHeight="1">
      <c r="B863" s="43" t="s">
        <v>159</v>
      </c>
      <c r="C863" s="116"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17"/>
      <c r="E863" s="117"/>
      <c r="F863" s="117"/>
      <c r="G863" s="117"/>
      <c r="H863" s="117"/>
      <c r="I863" s="117"/>
      <c r="J863" s="117"/>
      <c r="K863" s="117"/>
      <c r="L863" s="117"/>
      <c r="M863" s="117"/>
      <c r="N863" s="117"/>
      <c r="O863" s="117"/>
      <c r="P863" s="117"/>
      <c r="Q863" s="117"/>
      <c r="R863" s="117"/>
      <c r="S863" s="117"/>
      <c r="T863" s="117"/>
      <c r="U863" s="118"/>
      <c r="W863" s="35" t="str">
        <f>"-- "&amp;C863</f>
        <v>-- MML_手術モジュール_手術法テーブルから組入れ条件の第一条件で絞り込んだ結果をバックアップ_MML_手術モジュール_手術法テーブルに格納する。</v>
      </c>
    </row>
    <row r="865" spans="2:23" ht="18.75" customHeight="1">
      <c r="C865" s="119" t="s">
        <v>3640</v>
      </c>
      <c r="D865" s="120"/>
      <c r="E865" s="123" t="s">
        <v>162</v>
      </c>
      <c r="H865" s="36"/>
      <c r="I865" s="36"/>
      <c r="J865" s="36"/>
      <c r="K865" s="36"/>
      <c r="L865" s="36"/>
      <c r="M865" s="36"/>
      <c r="N865" s="36"/>
      <c r="O865" s="36"/>
      <c r="P865" s="36"/>
      <c r="Q865" s="36"/>
      <c r="R865" s="119" t="str">
        <f>"バックアップ_"&amp;SUBSTITUTE(C865,"_結合","")</f>
        <v>バックアップ_MML_手術モジュール_手術法</v>
      </c>
      <c r="S865" s="120"/>
      <c r="T865" s="125" t="str">
        <f>エンティティ一覧!$O$2</f>
        <v>milscm_2023_007</v>
      </c>
    </row>
    <row r="866" spans="2:23" ht="18.75" customHeight="1">
      <c r="C866" s="121"/>
      <c r="D866" s="122"/>
      <c r="E866" s="124"/>
      <c r="F866" s="37"/>
      <c r="G866" s="38"/>
      <c r="H866" s="37"/>
      <c r="I866" s="37"/>
      <c r="J866" s="37"/>
      <c r="K866" s="37"/>
      <c r="L866" s="37"/>
      <c r="M866" s="37"/>
      <c r="N866" s="37"/>
      <c r="O866" s="37"/>
      <c r="P866" s="37"/>
      <c r="Q866" s="37"/>
      <c r="R866" s="121"/>
      <c r="S866" s="122"/>
      <c r="T866" s="126"/>
    </row>
    <row r="867" spans="2:23" ht="18.75" customHeight="1">
      <c r="F867" s="39"/>
      <c r="G867" s="40"/>
    </row>
    <row r="868" spans="2:23" ht="18.75" customHeight="1">
      <c r="C868" s="119" t="s">
        <v>3188</v>
      </c>
      <c r="D868" s="120"/>
      <c r="E868" s="125" t="str">
        <f>エンティティ一覧!$O$2</f>
        <v>milscm_2023_007</v>
      </c>
      <c r="G868" s="41"/>
    </row>
    <row r="869" spans="2:23" ht="18.75" customHeight="1">
      <c r="C869" s="121"/>
      <c r="D869" s="122"/>
      <c r="E869" s="126"/>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27" t="str">
        <f>R877&amp;"登録"</f>
        <v>バックアップ_MML_手術モジュール_手術要素登録</v>
      </c>
      <c r="D874" s="128"/>
      <c r="E874" s="128"/>
      <c r="F874" s="128"/>
      <c r="G874" s="128"/>
      <c r="H874" s="128"/>
      <c r="I874" s="128"/>
      <c r="J874" s="128"/>
      <c r="K874" s="128"/>
      <c r="L874" s="128"/>
      <c r="M874" s="128"/>
      <c r="N874" s="128"/>
      <c r="O874" s="128"/>
      <c r="P874" s="128"/>
      <c r="Q874" s="128"/>
      <c r="R874" s="128"/>
      <c r="S874" s="128"/>
      <c r="T874" s="128"/>
      <c r="U874" s="129"/>
      <c r="W874" s="35" t="str">
        <f>"-- "&amp;C874</f>
        <v>-- バックアップ_MML_手術モジュール_手術要素登録</v>
      </c>
    </row>
    <row r="875" spans="2:23" ht="18.75" customHeight="1">
      <c r="B875" s="43" t="s">
        <v>159</v>
      </c>
      <c r="C875" s="116"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17"/>
      <c r="E875" s="117"/>
      <c r="F875" s="117"/>
      <c r="G875" s="117"/>
      <c r="H875" s="117"/>
      <c r="I875" s="117"/>
      <c r="J875" s="117"/>
      <c r="K875" s="117"/>
      <c r="L875" s="117"/>
      <c r="M875" s="117"/>
      <c r="N875" s="117"/>
      <c r="O875" s="117"/>
      <c r="P875" s="117"/>
      <c r="Q875" s="117"/>
      <c r="R875" s="117"/>
      <c r="S875" s="117"/>
      <c r="T875" s="117"/>
      <c r="U875" s="118"/>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19" t="s">
        <v>3642</v>
      </c>
      <c r="D877" s="120"/>
      <c r="E877" s="123" t="s">
        <v>162</v>
      </c>
      <c r="H877" s="36"/>
      <c r="I877" s="36"/>
      <c r="J877" s="36"/>
      <c r="K877" s="36"/>
      <c r="L877" s="36"/>
      <c r="M877" s="36"/>
      <c r="N877" s="36"/>
      <c r="O877" s="36"/>
      <c r="P877" s="36"/>
      <c r="Q877" s="36"/>
      <c r="R877" s="119" t="str">
        <f>"バックアップ_"&amp;SUBSTITUTE(C877,"_結合","")</f>
        <v>バックアップ_MML_手術モジュール_手術要素</v>
      </c>
      <c r="S877" s="120"/>
      <c r="T877" s="125" t="str">
        <f>エンティティ一覧!$O$2</f>
        <v>milscm_2023_007</v>
      </c>
    </row>
    <row r="878" spans="2:23" ht="18.75" customHeight="1">
      <c r="C878" s="121"/>
      <c r="D878" s="122"/>
      <c r="E878" s="124"/>
      <c r="F878" s="37"/>
      <c r="G878" s="38"/>
      <c r="H878" s="37"/>
      <c r="I878" s="37"/>
      <c r="J878" s="37"/>
      <c r="K878" s="37"/>
      <c r="L878" s="37"/>
      <c r="M878" s="37"/>
      <c r="N878" s="37"/>
      <c r="O878" s="37"/>
      <c r="P878" s="37"/>
      <c r="Q878" s="37"/>
      <c r="R878" s="121"/>
      <c r="S878" s="122"/>
      <c r="T878" s="126"/>
    </row>
    <row r="879" spans="2:23" ht="18.75" customHeight="1">
      <c r="F879" s="39"/>
      <c r="G879" s="40"/>
    </row>
    <row r="880" spans="2:23" ht="18.75" customHeight="1">
      <c r="C880" s="119" t="s">
        <v>3188</v>
      </c>
      <c r="D880" s="120"/>
      <c r="E880" s="125" t="str">
        <f>エンティティ一覧!$O$2</f>
        <v>milscm_2023_007</v>
      </c>
      <c r="G880" s="41"/>
    </row>
    <row r="881" spans="2:23" ht="18.75" customHeight="1">
      <c r="C881" s="121"/>
      <c r="D881" s="122"/>
      <c r="E881" s="126"/>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27" t="str">
        <f>R889&amp;"登録"</f>
        <v>バックアップ_MML_手術モジュール_麻酔法登録</v>
      </c>
      <c r="D886" s="128"/>
      <c r="E886" s="128"/>
      <c r="F886" s="128"/>
      <c r="G886" s="128"/>
      <c r="H886" s="128"/>
      <c r="I886" s="128"/>
      <c r="J886" s="128"/>
      <c r="K886" s="128"/>
      <c r="L886" s="128"/>
      <c r="M886" s="128"/>
      <c r="N886" s="128"/>
      <c r="O886" s="128"/>
      <c r="P886" s="128"/>
      <c r="Q886" s="128"/>
      <c r="R886" s="128"/>
      <c r="S886" s="128"/>
      <c r="T886" s="128"/>
      <c r="U886" s="129"/>
      <c r="W886" s="35" t="str">
        <f>"-- "&amp;C886</f>
        <v>-- バックアップ_MML_手術モジュール_麻酔法登録</v>
      </c>
    </row>
    <row r="887" spans="2:23" ht="18.75" customHeight="1">
      <c r="B887" s="43" t="s">
        <v>159</v>
      </c>
      <c r="C887" s="116"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17"/>
      <c r="E887" s="117"/>
      <c r="F887" s="117"/>
      <c r="G887" s="117"/>
      <c r="H887" s="117"/>
      <c r="I887" s="117"/>
      <c r="J887" s="117"/>
      <c r="K887" s="117"/>
      <c r="L887" s="117"/>
      <c r="M887" s="117"/>
      <c r="N887" s="117"/>
      <c r="O887" s="117"/>
      <c r="P887" s="117"/>
      <c r="Q887" s="117"/>
      <c r="R887" s="117"/>
      <c r="S887" s="117"/>
      <c r="T887" s="117"/>
      <c r="U887" s="118"/>
      <c r="W887" s="35" t="str">
        <f>"-- "&amp;C887</f>
        <v>-- MML_手術モジュール_麻酔法テーブルから組入れ条件の第一条件で絞り込んだ結果をバックアップ_MML_手術モジュール_麻酔法テーブルに格納する。</v>
      </c>
    </row>
    <row r="889" spans="2:23" ht="18.75" customHeight="1">
      <c r="C889" s="119" t="s">
        <v>3644</v>
      </c>
      <c r="D889" s="120"/>
      <c r="E889" s="123" t="s">
        <v>162</v>
      </c>
      <c r="H889" s="36"/>
      <c r="I889" s="36"/>
      <c r="J889" s="36"/>
      <c r="K889" s="36"/>
      <c r="L889" s="36"/>
      <c r="M889" s="36"/>
      <c r="N889" s="36"/>
      <c r="O889" s="36"/>
      <c r="P889" s="36"/>
      <c r="Q889" s="36"/>
      <c r="R889" s="119" t="str">
        <f>"バックアップ_"&amp;SUBSTITUTE(C889,"_結合","")</f>
        <v>バックアップ_MML_手術モジュール_麻酔法</v>
      </c>
      <c r="S889" s="120"/>
      <c r="T889" s="125" t="str">
        <f>エンティティ一覧!$O$2</f>
        <v>milscm_2023_007</v>
      </c>
    </row>
    <row r="890" spans="2:23" ht="18.75" customHeight="1">
      <c r="C890" s="121"/>
      <c r="D890" s="122"/>
      <c r="E890" s="124"/>
      <c r="F890" s="37"/>
      <c r="G890" s="38"/>
      <c r="H890" s="37"/>
      <c r="I890" s="37"/>
      <c r="J890" s="37"/>
      <c r="K890" s="37"/>
      <c r="L890" s="37"/>
      <c r="M890" s="37"/>
      <c r="N890" s="37"/>
      <c r="O890" s="37"/>
      <c r="P890" s="37"/>
      <c r="Q890" s="37"/>
      <c r="R890" s="121"/>
      <c r="S890" s="122"/>
      <c r="T890" s="126"/>
    </row>
    <row r="891" spans="2:23" ht="18.75" customHeight="1">
      <c r="F891" s="39"/>
      <c r="G891" s="40"/>
    </row>
    <row r="892" spans="2:23" ht="18.75" customHeight="1">
      <c r="C892" s="119" t="s">
        <v>3188</v>
      </c>
      <c r="D892" s="120"/>
      <c r="E892" s="125" t="str">
        <f>エンティティ一覧!$O$2</f>
        <v>milscm_2023_007</v>
      </c>
      <c r="G892" s="41"/>
    </row>
    <row r="893" spans="2:23" ht="18.75" customHeight="1">
      <c r="C893" s="121"/>
      <c r="D893" s="122"/>
      <c r="E893" s="126"/>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27" t="str">
        <f>R901&amp;"登録"</f>
        <v>バックアップ_MML_報告書情報モジュール_本文登録</v>
      </c>
      <c r="D898" s="128"/>
      <c r="E898" s="128"/>
      <c r="F898" s="128"/>
      <c r="G898" s="128"/>
      <c r="H898" s="128"/>
      <c r="I898" s="128"/>
      <c r="J898" s="128"/>
      <c r="K898" s="128"/>
      <c r="L898" s="128"/>
      <c r="M898" s="128"/>
      <c r="N898" s="128"/>
      <c r="O898" s="128"/>
      <c r="P898" s="128"/>
      <c r="Q898" s="128"/>
      <c r="R898" s="128"/>
      <c r="S898" s="128"/>
      <c r="T898" s="128"/>
      <c r="U898" s="129"/>
      <c r="W898" s="35" t="str">
        <f>"-- "&amp;C898</f>
        <v>-- バックアップ_MML_報告書情報モジュール_本文登録</v>
      </c>
    </row>
    <row r="899" spans="2:23" ht="18.75" customHeight="1">
      <c r="B899" s="43" t="s">
        <v>159</v>
      </c>
      <c r="C899" s="116"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17"/>
      <c r="E899" s="117"/>
      <c r="F899" s="117"/>
      <c r="G899" s="117"/>
      <c r="H899" s="117"/>
      <c r="I899" s="117"/>
      <c r="J899" s="117"/>
      <c r="K899" s="117"/>
      <c r="L899" s="117"/>
      <c r="M899" s="117"/>
      <c r="N899" s="117"/>
      <c r="O899" s="117"/>
      <c r="P899" s="117"/>
      <c r="Q899" s="117"/>
      <c r="R899" s="117"/>
      <c r="S899" s="117"/>
      <c r="T899" s="117"/>
      <c r="U899" s="118"/>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19" t="s">
        <v>3646</v>
      </c>
      <c r="D901" s="120"/>
      <c r="E901" s="123" t="s">
        <v>162</v>
      </c>
      <c r="H901" s="36"/>
      <c r="I901" s="36"/>
      <c r="J901" s="36"/>
      <c r="K901" s="36"/>
      <c r="L901" s="36"/>
      <c r="M901" s="36"/>
      <c r="N901" s="36"/>
      <c r="O901" s="36"/>
      <c r="P901" s="36"/>
      <c r="Q901" s="36"/>
      <c r="R901" s="119" t="str">
        <f>"バックアップ_"&amp;SUBSTITUTE(C901,"_結合","")</f>
        <v>バックアップ_MML_報告書情報モジュール_本文</v>
      </c>
      <c r="S901" s="120"/>
      <c r="T901" s="125" t="str">
        <f>エンティティ一覧!$O$2</f>
        <v>milscm_2023_007</v>
      </c>
    </row>
    <row r="902" spans="2:23" ht="18.75" customHeight="1">
      <c r="C902" s="121"/>
      <c r="D902" s="122"/>
      <c r="E902" s="124"/>
      <c r="F902" s="37"/>
      <c r="G902" s="38"/>
      <c r="H902" s="37"/>
      <c r="I902" s="37"/>
      <c r="J902" s="37"/>
      <c r="K902" s="37"/>
      <c r="L902" s="37"/>
      <c r="M902" s="37"/>
      <c r="N902" s="37"/>
      <c r="O902" s="37"/>
      <c r="P902" s="37"/>
      <c r="Q902" s="37"/>
      <c r="R902" s="121"/>
      <c r="S902" s="122"/>
      <c r="T902" s="126"/>
    </row>
    <row r="903" spans="2:23" ht="18.75" customHeight="1">
      <c r="F903" s="39"/>
      <c r="G903" s="40"/>
    </row>
    <row r="904" spans="2:23" ht="18.75" customHeight="1">
      <c r="C904" s="119" t="s">
        <v>3188</v>
      </c>
      <c r="D904" s="120"/>
      <c r="E904" s="125" t="str">
        <f>エンティティ一覧!$O$2</f>
        <v>milscm_2023_007</v>
      </c>
      <c r="G904" s="41"/>
    </row>
    <row r="905" spans="2:23" ht="18.75" customHeight="1">
      <c r="C905" s="121"/>
      <c r="D905" s="122"/>
      <c r="E905" s="126"/>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27" t="str">
        <f>R913&amp;"登録"</f>
        <v>バックアップ_MML_報告書情報モジュール_検査コメント登録</v>
      </c>
      <c r="D910" s="128"/>
      <c r="E910" s="128"/>
      <c r="F910" s="128"/>
      <c r="G910" s="128"/>
      <c r="H910" s="128"/>
      <c r="I910" s="128"/>
      <c r="J910" s="128"/>
      <c r="K910" s="128"/>
      <c r="L910" s="128"/>
      <c r="M910" s="128"/>
      <c r="N910" s="128"/>
      <c r="O910" s="128"/>
      <c r="P910" s="128"/>
      <c r="Q910" s="128"/>
      <c r="R910" s="128"/>
      <c r="S910" s="128"/>
      <c r="T910" s="128"/>
      <c r="U910" s="129"/>
      <c r="W910" s="35" t="str">
        <f>"-- "&amp;C910</f>
        <v>-- バックアップ_MML_報告書情報モジュール_検査コメント登録</v>
      </c>
    </row>
    <row r="911" spans="2:23" ht="18.75" customHeight="1">
      <c r="B911" s="43" t="s">
        <v>159</v>
      </c>
      <c r="C911" s="116"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17"/>
      <c r="E911" s="117"/>
      <c r="F911" s="117"/>
      <c r="G911" s="117"/>
      <c r="H911" s="117"/>
      <c r="I911" s="117"/>
      <c r="J911" s="117"/>
      <c r="K911" s="117"/>
      <c r="L911" s="117"/>
      <c r="M911" s="117"/>
      <c r="N911" s="117"/>
      <c r="O911" s="117"/>
      <c r="P911" s="117"/>
      <c r="Q911" s="117"/>
      <c r="R911" s="117"/>
      <c r="S911" s="117"/>
      <c r="T911" s="117"/>
      <c r="U911" s="118"/>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19" t="s">
        <v>3648</v>
      </c>
      <c r="D913" s="120"/>
      <c r="E913" s="123" t="s">
        <v>162</v>
      </c>
      <c r="H913" s="36"/>
      <c r="I913" s="36"/>
      <c r="J913" s="36"/>
      <c r="K913" s="36"/>
      <c r="L913" s="36"/>
      <c r="M913" s="36"/>
      <c r="N913" s="36"/>
      <c r="O913" s="36"/>
      <c r="P913" s="36"/>
      <c r="Q913" s="36"/>
      <c r="R913" s="130" t="str">
        <f>"バックアップ_"&amp;SUBSTITUTE(C913,"_結合","")</f>
        <v>バックアップ_MML_報告書情報モジュール_検査コメント</v>
      </c>
      <c r="S913" s="131"/>
      <c r="T913" s="125" t="str">
        <f>エンティティ一覧!$O$2</f>
        <v>milscm_2023_007</v>
      </c>
    </row>
    <row r="914" spans="2:23" ht="18.75" customHeight="1">
      <c r="C914" s="121"/>
      <c r="D914" s="122"/>
      <c r="E914" s="124"/>
      <c r="F914" s="37"/>
      <c r="G914" s="38"/>
      <c r="H914" s="37"/>
      <c r="I914" s="37"/>
      <c r="J914" s="37"/>
      <c r="K914" s="37"/>
      <c r="L914" s="37"/>
      <c r="M914" s="37"/>
      <c r="N914" s="37"/>
      <c r="O914" s="37"/>
      <c r="P914" s="37"/>
      <c r="Q914" s="37"/>
      <c r="R914" s="132"/>
      <c r="S914" s="133"/>
      <c r="T914" s="126"/>
    </row>
    <row r="915" spans="2:23" ht="18.75" customHeight="1">
      <c r="F915" s="39"/>
      <c r="G915" s="40"/>
    </row>
    <row r="916" spans="2:23" ht="18.75" customHeight="1">
      <c r="C916" s="119" t="s">
        <v>3188</v>
      </c>
      <c r="D916" s="120"/>
      <c r="E916" s="125" t="str">
        <f>エンティティ一覧!$O$2</f>
        <v>milscm_2023_007</v>
      </c>
      <c r="G916" s="41"/>
    </row>
    <row r="917" spans="2:23" ht="18.75" customHeight="1">
      <c r="C917" s="121"/>
      <c r="D917" s="122"/>
      <c r="E917" s="126"/>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27" t="str">
        <f>R925&amp;"登録"</f>
        <v>バックアップ_MML_生活習慣情報モジュール_本文登録</v>
      </c>
      <c r="D922" s="128"/>
      <c r="E922" s="128"/>
      <c r="F922" s="128"/>
      <c r="G922" s="128"/>
      <c r="H922" s="128"/>
      <c r="I922" s="128"/>
      <c r="J922" s="128"/>
      <c r="K922" s="128"/>
      <c r="L922" s="128"/>
      <c r="M922" s="128"/>
      <c r="N922" s="128"/>
      <c r="O922" s="128"/>
      <c r="P922" s="128"/>
      <c r="Q922" s="128"/>
      <c r="R922" s="128"/>
      <c r="S922" s="128"/>
      <c r="T922" s="128"/>
      <c r="U922" s="129"/>
      <c r="W922" s="35" t="str">
        <f>"-- "&amp;C922</f>
        <v>-- バックアップ_MML_生活習慣情報モジュール_本文登録</v>
      </c>
    </row>
    <row r="923" spans="2:23" ht="18.75" customHeight="1">
      <c r="B923" s="43" t="s">
        <v>159</v>
      </c>
      <c r="C923" s="116"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17"/>
      <c r="E923" s="117"/>
      <c r="F923" s="117"/>
      <c r="G923" s="117"/>
      <c r="H923" s="117"/>
      <c r="I923" s="117"/>
      <c r="J923" s="117"/>
      <c r="K923" s="117"/>
      <c r="L923" s="117"/>
      <c r="M923" s="117"/>
      <c r="N923" s="117"/>
      <c r="O923" s="117"/>
      <c r="P923" s="117"/>
      <c r="Q923" s="117"/>
      <c r="R923" s="117"/>
      <c r="S923" s="117"/>
      <c r="T923" s="117"/>
      <c r="U923" s="118"/>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19" t="s">
        <v>3650</v>
      </c>
      <c r="D925" s="120"/>
      <c r="E925" s="123" t="s">
        <v>162</v>
      </c>
      <c r="H925" s="36"/>
      <c r="I925" s="36"/>
      <c r="J925" s="36"/>
      <c r="K925" s="36"/>
      <c r="L925" s="36"/>
      <c r="M925" s="36"/>
      <c r="N925" s="36"/>
      <c r="O925" s="36"/>
      <c r="P925" s="36"/>
      <c r="Q925" s="36"/>
      <c r="R925" s="119" t="str">
        <f>"バックアップ_"&amp;SUBSTITUTE(C925,"_結合","")</f>
        <v>バックアップ_MML_生活習慣情報モジュール_本文</v>
      </c>
      <c r="S925" s="120"/>
      <c r="T925" s="125" t="str">
        <f>エンティティ一覧!$O$2</f>
        <v>milscm_2023_007</v>
      </c>
    </row>
    <row r="926" spans="2:23" ht="18.75" customHeight="1">
      <c r="C926" s="121"/>
      <c r="D926" s="122"/>
      <c r="E926" s="124"/>
      <c r="F926" s="37"/>
      <c r="G926" s="38"/>
      <c r="H926" s="37"/>
      <c r="I926" s="37"/>
      <c r="J926" s="37"/>
      <c r="K926" s="37"/>
      <c r="L926" s="37"/>
      <c r="M926" s="37"/>
      <c r="N926" s="37"/>
      <c r="O926" s="37"/>
      <c r="P926" s="37"/>
      <c r="Q926" s="37"/>
      <c r="R926" s="121"/>
      <c r="S926" s="122"/>
      <c r="T926" s="126"/>
    </row>
    <row r="927" spans="2:23" ht="18.75" customHeight="1">
      <c r="F927" s="39"/>
      <c r="G927" s="40"/>
    </row>
    <row r="928" spans="2:23" ht="18.75" customHeight="1">
      <c r="C928" s="119" t="s">
        <v>3188</v>
      </c>
      <c r="D928" s="120"/>
      <c r="E928" s="125" t="str">
        <f>エンティティ一覧!$O$2</f>
        <v>milscm_2023_007</v>
      </c>
      <c r="G928" s="41"/>
    </row>
    <row r="929" spans="2:23" ht="18.75" customHeight="1">
      <c r="C929" s="121"/>
      <c r="D929" s="122"/>
      <c r="E929" s="126"/>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27" t="str">
        <f>R937&amp;"登録"</f>
        <v>バックアップ_MML_紹介状モジュール_本文登録</v>
      </c>
      <c r="D934" s="128"/>
      <c r="E934" s="128"/>
      <c r="F934" s="128"/>
      <c r="G934" s="128"/>
      <c r="H934" s="128"/>
      <c r="I934" s="128"/>
      <c r="J934" s="128"/>
      <c r="K934" s="128"/>
      <c r="L934" s="128"/>
      <c r="M934" s="128"/>
      <c r="N934" s="128"/>
      <c r="O934" s="128"/>
      <c r="P934" s="128"/>
      <c r="Q934" s="128"/>
      <c r="R934" s="128"/>
      <c r="S934" s="128"/>
      <c r="T934" s="128"/>
      <c r="U934" s="129"/>
      <c r="W934" s="35" t="str">
        <f>"-- "&amp;C934</f>
        <v>-- バックアップ_MML_紹介状モジュール_本文登録</v>
      </c>
    </row>
    <row r="935" spans="2:23" ht="18.75" customHeight="1">
      <c r="B935" s="43" t="s">
        <v>159</v>
      </c>
      <c r="C935" s="116"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17"/>
      <c r="E935" s="117"/>
      <c r="F935" s="117"/>
      <c r="G935" s="117"/>
      <c r="H935" s="117"/>
      <c r="I935" s="117"/>
      <c r="J935" s="117"/>
      <c r="K935" s="117"/>
      <c r="L935" s="117"/>
      <c r="M935" s="117"/>
      <c r="N935" s="117"/>
      <c r="O935" s="117"/>
      <c r="P935" s="117"/>
      <c r="Q935" s="117"/>
      <c r="R935" s="117"/>
      <c r="S935" s="117"/>
      <c r="T935" s="117"/>
      <c r="U935" s="118"/>
      <c r="W935" s="35" t="str">
        <f>"-- "&amp;C935</f>
        <v>-- MML_紹介状モジュール_本文テーブルから組入れ条件の第一条件で絞り込んだ結果をバックアップ_MML_紹介状モジュール_本文テーブルに格納する。</v>
      </c>
    </row>
    <row r="937" spans="2:23" ht="18.75" customHeight="1">
      <c r="C937" s="119" t="s">
        <v>3652</v>
      </c>
      <c r="D937" s="120"/>
      <c r="E937" s="123" t="s">
        <v>162</v>
      </c>
      <c r="H937" s="36"/>
      <c r="I937" s="36"/>
      <c r="J937" s="36"/>
      <c r="K937" s="36"/>
      <c r="L937" s="36"/>
      <c r="M937" s="36"/>
      <c r="N937" s="36"/>
      <c r="O937" s="36"/>
      <c r="P937" s="36"/>
      <c r="Q937" s="36"/>
      <c r="R937" s="119" t="str">
        <f>"バックアップ_"&amp;SUBSTITUTE(C937,"_結合","")</f>
        <v>バックアップ_MML_紹介状モジュール_本文</v>
      </c>
      <c r="S937" s="120"/>
      <c r="T937" s="125" t="str">
        <f>エンティティ一覧!$O$2</f>
        <v>milscm_2023_007</v>
      </c>
    </row>
    <row r="938" spans="2:23" ht="18.75" customHeight="1">
      <c r="C938" s="121"/>
      <c r="D938" s="122"/>
      <c r="E938" s="124"/>
      <c r="F938" s="37"/>
      <c r="G938" s="38"/>
      <c r="H938" s="37"/>
      <c r="I938" s="37"/>
      <c r="J938" s="37"/>
      <c r="K938" s="37"/>
      <c r="L938" s="37"/>
      <c r="M938" s="37"/>
      <c r="N938" s="37"/>
      <c r="O938" s="37"/>
      <c r="P938" s="37"/>
      <c r="Q938" s="37"/>
      <c r="R938" s="121"/>
      <c r="S938" s="122"/>
      <c r="T938" s="126"/>
    </row>
    <row r="939" spans="2:23" ht="18.75" customHeight="1">
      <c r="F939" s="39"/>
      <c r="G939" s="40"/>
    </row>
    <row r="940" spans="2:23" ht="18.75" customHeight="1">
      <c r="C940" s="119" t="s">
        <v>3188</v>
      </c>
      <c r="D940" s="120"/>
      <c r="E940" s="125" t="str">
        <f>エンティティ一覧!$O$2</f>
        <v>milscm_2023_007</v>
      </c>
      <c r="G940" s="41"/>
    </row>
    <row r="941" spans="2:23" ht="18.75" customHeight="1">
      <c r="C941" s="121"/>
      <c r="D941" s="122"/>
      <c r="E941" s="126"/>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27" t="str">
        <f>R949&amp;"登録"</f>
        <v>バックアップ_MML_紹介状モジュール_注射記録登録</v>
      </c>
      <c r="D946" s="128"/>
      <c r="E946" s="128"/>
      <c r="F946" s="128"/>
      <c r="G946" s="128"/>
      <c r="H946" s="128"/>
      <c r="I946" s="128"/>
      <c r="J946" s="128"/>
      <c r="K946" s="128"/>
      <c r="L946" s="128"/>
      <c r="M946" s="128"/>
      <c r="N946" s="128"/>
      <c r="O946" s="128"/>
      <c r="P946" s="128"/>
      <c r="Q946" s="128"/>
      <c r="R946" s="128"/>
      <c r="S946" s="128"/>
      <c r="T946" s="128"/>
      <c r="U946" s="129"/>
      <c r="W946" s="35" t="str">
        <f>"-- "&amp;C946</f>
        <v>-- バックアップ_MML_紹介状モジュール_注射記録登録</v>
      </c>
    </row>
    <row r="947" spans="2:23" ht="18.75" customHeight="1">
      <c r="B947" s="43" t="s">
        <v>159</v>
      </c>
      <c r="C947" s="116"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17"/>
      <c r="E947" s="117"/>
      <c r="F947" s="117"/>
      <c r="G947" s="117"/>
      <c r="H947" s="117"/>
      <c r="I947" s="117"/>
      <c r="J947" s="117"/>
      <c r="K947" s="117"/>
      <c r="L947" s="117"/>
      <c r="M947" s="117"/>
      <c r="N947" s="117"/>
      <c r="O947" s="117"/>
      <c r="P947" s="117"/>
      <c r="Q947" s="117"/>
      <c r="R947" s="117"/>
      <c r="S947" s="117"/>
      <c r="T947" s="117"/>
      <c r="U947" s="118"/>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19" t="s">
        <v>3654</v>
      </c>
      <c r="D949" s="120"/>
      <c r="E949" s="123" t="s">
        <v>162</v>
      </c>
      <c r="H949" s="36"/>
      <c r="I949" s="36"/>
      <c r="J949" s="36"/>
      <c r="K949" s="36"/>
      <c r="L949" s="36"/>
      <c r="M949" s="36"/>
      <c r="N949" s="36"/>
      <c r="O949" s="36"/>
      <c r="P949" s="36"/>
      <c r="Q949" s="36"/>
      <c r="R949" s="119" t="str">
        <f>"バックアップ_"&amp;SUBSTITUTE(C949,"_結合","")</f>
        <v>バックアップ_MML_紹介状モジュール_注射記録</v>
      </c>
      <c r="S949" s="120"/>
      <c r="T949" s="125" t="str">
        <f>エンティティ一覧!$O$2</f>
        <v>milscm_2023_007</v>
      </c>
    </row>
    <row r="950" spans="2:23" ht="18.75" customHeight="1">
      <c r="C950" s="121"/>
      <c r="D950" s="122"/>
      <c r="E950" s="124"/>
      <c r="F950" s="37"/>
      <c r="G950" s="38"/>
      <c r="H950" s="37"/>
      <c r="I950" s="37"/>
      <c r="J950" s="37"/>
      <c r="K950" s="37"/>
      <c r="L950" s="37"/>
      <c r="M950" s="37"/>
      <c r="N950" s="37"/>
      <c r="O950" s="37"/>
      <c r="P950" s="37"/>
      <c r="Q950" s="37"/>
      <c r="R950" s="121"/>
      <c r="S950" s="122"/>
      <c r="T950" s="126"/>
    </row>
    <row r="951" spans="2:23" ht="18.75" customHeight="1">
      <c r="F951" s="39"/>
      <c r="G951" s="40"/>
    </row>
    <row r="952" spans="2:23" ht="18.75" customHeight="1">
      <c r="C952" s="119" t="s">
        <v>3188</v>
      </c>
      <c r="D952" s="120"/>
      <c r="E952" s="125" t="str">
        <f>エンティティ一覧!$O$2</f>
        <v>milscm_2023_007</v>
      </c>
      <c r="G952" s="41"/>
    </row>
    <row r="953" spans="2:23" ht="18.75" customHeight="1">
      <c r="C953" s="121"/>
      <c r="D953" s="122"/>
      <c r="E953" s="126"/>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27" t="str">
        <f>R961&amp;"登録"</f>
        <v>バックアップ_MML_紹介状モジュール_注射記録投薬登録</v>
      </c>
      <c r="D958" s="128"/>
      <c r="E958" s="128"/>
      <c r="F958" s="128"/>
      <c r="G958" s="128"/>
      <c r="H958" s="128"/>
      <c r="I958" s="128"/>
      <c r="J958" s="128"/>
      <c r="K958" s="128"/>
      <c r="L958" s="128"/>
      <c r="M958" s="128"/>
      <c r="N958" s="128"/>
      <c r="O958" s="128"/>
      <c r="P958" s="128"/>
      <c r="Q958" s="128"/>
      <c r="R958" s="128"/>
      <c r="S958" s="128"/>
      <c r="T958" s="128"/>
      <c r="U958" s="129"/>
      <c r="W958" s="35" t="str">
        <f>"-- "&amp;C958</f>
        <v>-- バックアップ_MML_紹介状モジュール_注射記録投薬登録</v>
      </c>
    </row>
    <row r="959" spans="2:23" ht="18.75" customHeight="1">
      <c r="B959" s="43" t="s">
        <v>159</v>
      </c>
      <c r="C959" s="116"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17"/>
      <c r="E959" s="117"/>
      <c r="F959" s="117"/>
      <c r="G959" s="117"/>
      <c r="H959" s="117"/>
      <c r="I959" s="117"/>
      <c r="J959" s="117"/>
      <c r="K959" s="117"/>
      <c r="L959" s="117"/>
      <c r="M959" s="117"/>
      <c r="N959" s="117"/>
      <c r="O959" s="117"/>
      <c r="P959" s="117"/>
      <c r="Q959" s="117"/>
      <c r="R959" s="117"/>
      <c r="S959" s="117"/>
      <c r="T959" s="117"/>
      <c r="U959" s="118"/>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19" t="s">
        <v>3656</v>
      </c>
      <c r="D961" s="120"/>
      <c r="E961" s="123" t="s">
        <v>162</v>
      </c>
      <c r="H961" s="36"/>
      <c r="I961" s="36"/>
      <c r="J961" s="36"/>
      <c r="K961" s="36"/>
      <c r="L961" s="36"/>
      <c r="M961" s="36"/>
      <c r="N961" s="36"/>
      <c r="O961" s="36"/>
      <c r="P961" s="36"/>
      <c r="Q961" s="36"/>
      <c r="R961" s="119" t="str">
        <f>"バックアップ_"&amp;SUBSTITUTE(C961,"_結合","")</f>
        <v>バックアップ_MML_紹介状モジュール_注射記録投薬</v>
      </c>
      <c r="S961" s="120"/>
      <c r="T961" s="125" t="str">
        <f>エンティティ一覧!$O$2</f>
        <v>milscm_2023_007</v>
      </c>
    </row>
    <row r="962" spans="2:23" ht="18.75" customHeight="1">
      <c r="C962" s="121"/>
      <c r="D962" s="122"/>
      <c r="E962" s="124"/>
      <c r="F962" s="37"/>
      <c r="G962" s="38"/>
      <c r="H962" s="37"/>
      <c r="I962" s="37"/>
      <c r="J962" s="37"/>
      <c r="K962" s="37"/>
      <c r="L962" s="37"/>
      <c r="M962" s="37"/>
      <c r="N962" s="37"/>
      <c r="O962" s="37"/>
      <c r="P962" s="37"/>
      <c r="Q962" s="37"/>
      <c r="R962" s="121"/>
      <c r="S962" s="122"/>
      <c r="T962" s="126"/>
    </row>
    <row r="963" spans="2:23" ht="18.75" customHeight="1">
      <c r="F963" s="39"/>
      <c r="G963" s="40"/>
    </row>
    <row r="964" spans="2:23" ht="18.75" customHeight="1">
      <c r="C964" s="119" t="s">
        <v>3188</v>
      </c>
      <c r="D964" s="120"/>
      <c r="E964" s="125" t="str">
        <f>エンティティ一覧!$O$2</f>
        <v>milscm_2023_007</v>
      </c>
      <c r="G964" s="41"/>
    </row>
    <row r="965" spans="2:23" ht="18.75" customHeight="1">
      <c r="C965" s="121"/>
      <c r="D965" s="122"/>
      <c r="E965" s="126"/>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27" t="str">
        <f>R973&amp;"登録"</f>
        <v>バックアップ_MML_紹介状モジュール_注射記録薬剤登録</v>
      </c>
      <c r="D970" s="128"/>
      <c r="E970" s="128"/>
      <c r="F970" s="128"/>
      <c r="G970" s="128"/>
      <c r="H970" s="128"/>
      <c r="I970" s="128"/>
      <c r="J970" s="128"/>
      <c r="K970" s="128"/>
      <c r="L970" s="128"/>
      <c r="M970" s="128"/>
      <c r="N970" s="128"/>
      <c r="O970" s="128"/>
      <c r="P970" s="128"/>
      <c r="Q970" s="128"/>
      <c r="R970" s="128"/>
      <c r="S970" s="128"/>
      <c r="T970" s="128"/>
      <c r="U970" s="129"/>
      <c r="W970" s="35" t="str">
        <f>"-- "&amp;C970</f>
        <v>-- バックアップ_MML_紹介状モジュール_注射記録薬剤登録</v>
      </c>
    </row>
    <row r="971" spans="2:23" ht="18.75" customHeight="1">
      <c r="B971" s="43" t="s">
        <v>159</v>
      </c>
      <c r="C971" s="116"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17"/>
      <c r="E971" s="117"/>
      <c r="F971" s="117"/>
      <c r="G971" s="117"/>
      <c r="H971" s="117"/>
      <c r="I971" s="117"/>
      <c r="J971" s="117"/>
      <c r="K971" s="117"/>
      <c r="L971" s="117"/>
      <c r="M971" s="117"/>
      <c r="N971" s="117"/>
      <c r="O971" s="117"/>
      <c r="P971" s="117"/>
      <c r="Q971" s="117"/>
      <c r="R971" s="117"/>
      <c r="S971" s="117"/>
      <c r="T971" s="117"/>
      <c r="U971" s="118"/>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19" t="s">
        <v>3658</v>
      </c>
      <c r="D973" s="120"/>
      <c r="E973" s="123" t="s">
        <v>162</v>
      </c>
      <c r="H973" s="36"/>
      <c r="I973" s="36"/>
      <c r="J973" s="36"/>
      <c r="K973" s="36"/>
      <c r="L973" s="36"/>
      <c r="M973" s="36"/>
      <c r="N973" s="36"/>
      <c r="O973" s="36"/>
      <c r="P973" s="36"/>
      <c r="Q973" s="36"/>
      <c r="R973" s="119" t="str">
        <f>"バックアップ_"&amp;SUBSTITUTE(C973,"_結合","")</f>
        <v>バックアップ_MML_紹介状モジュール_注射記録薬剤</v>
      </c>
      <c r="S973" s="120"/>
      <c r="T973" s="125" t="str">
        <f>エンティティ一覧!$O$2</f>
        <v>milscm_2023_007</v>
      </c>
    </row>
    <row r="974" spans="2:23" ht="18.75" customHeight="1">
      <c r="C974" s="121"/>
      <c r="D974" s="122"/>
      <c r="E974" s="124"/>
      <c r="F974" s="37"/>
      <c r="G974" s="38"/>
      <c r="H974" s="37"/>
      <c r="I974" s="37"/>
      <c r="J974" s="37"/>
      <c r="K974" s="37"/>
      <c r="L974" s="37"/>
      <c r="M974" s="37"/>
      <c r="N974" s="37"/>
      <c r="O974" s="37"/>
      <c r="P974" s="37"/>
      <c r="Q974" s="37"/>
      <c r="R974" s="121"/>
      <c r="S974" s="122"/>
      <c r="T974" s="126"/>
    </row>
    <row r="975" spans="2:23" ht="18.75" customHeight="1">
      <c r="F975" s="39"/>
      <c r="G975" s="40"/>
    </row>
    <row r="976" spans="2:23" ht="18.75" customHeight="1">
      <c r="C976" s="119" t="s">
        <v>3188</v>
      </c>
      <c r="D976" s="120"/>
      <c r="E976" s="125" t="str">
        <f>エンティティ一覧!$O$2</f>
        <v>milscm_2023_007</v>
      </c>
      <c r="G976" s="41"/>
    </row>
    <row r="977" spans="2:23" ht="18.75" customHeight="1">
      <c r="C977" s="121"/>
      <c r="D977" s="122"/>
      <c r="E977" s="126"/>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27" t="str">
        <f>R985&amp;"登録"</f>
        <v>バックアップ_MML_紹介状モジュール_患者情報登録</v>
      </c>
      <c r="D982" s="128"/>
      <c r="E982" s="128"/>
      <c r="F982" s="128"/>
      <c r="G982" s="128"/>
      <c r="H982" s="128"/>
      <c r="I982" s="128"/>
      <c r="J982" s="128"/>
      <c r="K982" s="128"/>
      <c r="L982" s="128"/>
      <c r="M982" s="128"/>
      <c r="N982" s="128"/>
      <c r="O982" s="128"/>
      <c r="P982" s="128"/>
      <c r="Q982" s="128"/>
      <c r="R982" s="128"/>
      <c r="S982" s="128"/>
      <c r="T982" s="128"/>
      <c r="U982" s="129"/>
      <c r="W982" s="35" t="str">
        <f>"-- "&amp;C982</f>
        <v>-- バックアップ_MML_紹介状モジュール_患者情報登録</v>
      </c>
    </row>
    <row r="983" spans="2:23" ht="18.75" customHeight="1">
      <c r="B983" s="43" t="s">
        <v>159</v>
      </c>
      <c r="C983" s="116"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17"/>
      <c r="E983" s="117"/>
      <c r="F983" s="117"/>
      <c r="G983" s="117"/>
      <c r="H983" s="117"/>
      <c r="I983" s="117"/>
      <c r="J983" s="117"/>
      <c r="K983" s="117"/>
      <c r="L983" s="117"/>
      <c r="M983" s="117"/>
      <c r="N983" s="117"/>
      <c r="O983" s="117"/>
      <c r="P983" s="117"/>
      <c r="Q983" s="117"/>
      <c r="R983" s="117"/>
      <c r="S983" s="117"/>
      <c r="T983" s="117"/>
      <c r="U983" s="118"/>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19" t="s">
        <v>3660</v>
      </c>
      <c r="D985" s="120"/>
      <c r="E985" s="123" t="s">
        <v>162</v>
      </c>
      <c r="H985" s="36"/>
      <c r="I985" s="36"/>
      <c r="J985" s="36"/>
      <c r="K985" s="36"/>
      <c r="L985" s="36"/>
      <c r="M985" s="36"/>
      <c r="N985" s="36"/>
      <c r="O985" s="36"/>
      <c r="P985" s="36"/>
      <c r="Q985" s="36"/>
      <c r="R985" s="119" t="str">
        <f>"バックアップ_"&amp;SUBSTITUTE(C985,"_結合","")</f>
        <v>バックアップ_MML_紹介状モジュール_患者情報</v>
      </c>
      <c r="S985" s="120"/>
      <c r="T985" s="125" t="str">
        <f>エンティティ一覧!$O$2</f>
        <v>milscm_2023_007</v>
      </c>
    </row>
    <row r="986" spans="2:23" ht="18.75" customHeight="1">
      <c r="C986" s="121"/>
      <c r="D986" s="122"/>
      <c r="E986" s="124"/>
      <c r="F986" s="37"/>
      <c r="G986" s="38"/>
      <c r="H986" s="37"/>
      <c r="I986" s="37"/>
      <c r="J986" s="37"/>
      <c r="K986" s="37"/>
      <c r="L986" s="37"/>
      <c r="M986" s="37"/>
      <c r="N986" s="37"/>
      <c r="O986" s="37"/>
      <c r="P986" s="37"/>
      <c r="Q986" s="37"/>
      <c r="R986" s="121"/>
      <c r="S986" s="122"/>
      <c r="T986" s="126"/>
    </row>
    <row r="987" spans="2:23" ht="18.75" customHeight="1">
      <c r="F987" s="39"/>
      <c r="G987" s="40"/>
    </row>
    <row r="988" spans="2:23" ht="18.75" customHeight="1">
      <c r="C988" s="119" t="s">
        <v>3188</v>
      </c>
      <c r="D988" s="120"/>
      <c r="E988" s="125" t="str">
        <f>エンティティ一覧!$O$2</f>
        <v>milscm_2023_007</v>
      </c>
      <c r="G988" s="41"/>
    </row>
    <row r="989" spans="2:23" ht="18.75" customHeight="1">
      <c r="C989" s="121"/>
      <c r="D989" s="122"/>
      <c r="E989" s="126"/>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27" t="str">
        <f>R997&amp;"登録"</f>
        <v>バックアップ_MML_紹介状モジュール_患者情報住所登録</v>
      </c>
      <c r="D994" s="128"/>
      <c r="E994" s="128"/>
      <c r="F994" s="128"/>
      <c r="G994" s="128"/>
      <c r="H994" s="128"/>
      <c r="I994" s="128"/>
      <c r="J994" s="128"/>
      <c r="K994" s="128"/>
      <c r="L994" s="128"/>
      <c r="M994" s="128"/>
      <c r="N994" s="128"/>
      <c r="O994" s="128"/>
      <c r="P994" s="128"/>
      <c r="Q994" s="128"/>
      <c r="R994" s="128"/>
      <c r="S994" s="128"/>
      <c r="T994" s="128"/>
      <c r="U994" s="129"/>
      <c r="W994" s="35" t="str">
        <f>"-- "&amp;C994</f>
        <v>-- バックアップ_MML_紹介状モジュール_患者情報住所登録</v>
      </c>
    </row>
    <row r="995" spans="2:23" ht="18.75" customHeight="1">
      <c r="B995" s="43" t="s">
        <v>159</v>
      </c>
      <c r="C995" s="116"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17"/>
      <c r="E995" s="117"/>
      <c r="F995" s="117"/>
      <c r="G995" s="117"/>
      <c r="H995" s="117"/>
      <c r="I995" s="117"/>
      <c r="J995" s="117"/>
      <c r="K995" s="117"/>
      <c r="L995" s="117"/>
      <c r="M995" s="117"/>
      <c r="N995" s="117"/>
      <c r="O995" s="117"/>
      <c r="P995" s="117"/>
      <c r="Q995" s="117"/>
      <c r="R995" s="117"/>
      <c r="S995" s="117"/>
      <c r="T995" s="117"/>
      <c r="U995" s="118"/>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19" t="s">
        <v>3662</v>
      </c>
      <c r="D997" s="120"/>
      <c r="E997" s="123" t="s">
        <v>162</v>
      </c>
      <c r="H997" s="36"/>
      <c r="I997" s="36"/>
      <c r="J997" s="36"/>
      <c r="K997" s="36"/>
      <c r="L997" s="36"/>
      <c r="M997" s="36"/>
      <c r="N997" s="36"/>
      <c r="O997" s="36"/>
      <c r="P997" s="36"/>
      <c r="Q997" s="36"/>
      <c r="R997" s="119" t="str">
        <f>"バックアップ_"&amp;SUBSTITUTE(C997,"_結合","")</f>
        <v>バックアップ_MML_紹介状モジュール_患者情報住所</v>
      </c>
      <c r="S997" s="120"/>
      <c r="T997" s="125" t="str">
        <f>エンティティ一覧!$O$2</f>
        <v>milscm_2023_007</v>
      </c>
    </row>
    <row r="998" spans="2:23" ht="18.75" customHeight="1">
      <c r="C998" s="121"/>
      <c r="D998" s="122"/>
      <c r="E998" s="124"/>
      <c r="F998" s="37"/>
      <c r="G998" s="38"/>
      <c r="H998" s="37"/>
      <c r="I998" s="37"/>
      <c r="J998" s="37"/>
      <c r="K998" s="37"/>
      <c r="L998" s="37"/>
      <c r="M998" s="37"/>
      <c r="N998" s="37"/>
      <c r="O998" s="37"/>
      <c r="P998" s="37"/>
      <c r="Q998" s="37"/>
      <c r="R998" s="121"/>
      <c r="S998" s="122"/>
      <c r="T998" s="126"/>
    </row>
    <row r="999" spans="2:23" ht="18.75" customHeight="1">
      <c r="F999" s="39"/>
      <c r="G999" s="40"/>
    </row>
    <row r="1000" spans="2:23" ht="18.75" customHeight="1">
      <c r="C1000" s="119" t="s">
        <v>3188</v>
      </c>
      <c r="D1000" s="120"/>
      <c r="E1000" s="125" t="str">
        <f>エンティティ一覧!$O$2</f>
        <v>milscm_2023_007</v>
      </c>
      <c r="G1000" s="41"/>
    </row>
    <row r="1001" spans="2:23" ht="18.75" customHeight="1">
      <c r="C1001" s="121"/>
      <c r="D1001" s="122"/>
      <c r="E1001" s="126"/>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27" t="str">
        <f>R1009&amp;"登録"</f>
        <v>バックアップ_MML_紹介状モジュール_処方箋登録</v>
      </c>
      <c r="D1006" s="128"/>
      <c r="E1006" s="128"/>
      <c r="F1006" s="128"/>
      <c r="G1006" s="128"/>
      <c r="H1006" s="128"/>
      <c r="I1006" s="128"/>
      <c r="J1006" s="128"/>
      <c r="K1006" s="128"/>
      <c r="L1006" s="128"/>
      <c r="M1006" s="128"/>
      <c r="N1006" s="128"/>
      <c r="O1006" s="128"/>
      <c r="P1006" s="128"/>
      <c r="Q1006" s="128"/>
      <c r="R1006" s="128"/>
      <c r="S1006" s="128"/>
      <c r="T1006" s="128"/>
      <c r="U1006" s="129"/>
      <c r="W1006" s="35" t="str">
        <f>"-- "&amp;C1006</f>
        <v>-- バックアップ_MML_紹介状モジュール_処方箋登録</v>
      </c>
    </row>
    <row r="1007" spans="2:23" ht="18.75" customHeight="1">
      <c r="B1007" s="43" t="s">
        <v>159</v>
      </c>
      <c r="C1007" s="116"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17"/>
      <c r="E1007" s="117"/>
      <c r="F1007" s="117"/>
      <c r="G1007" s="117"/>
      <c r="H1007" s="117"/>
      <c r="I1007" s="117"/>
      <c r="J1007" s="117"/>
      <c r="K1007" s="117"/>
      <c r="L1007" s="117"/>
      <c r="M1007" s="117"/>
      <c r="N1007" s="117"/>
      <c r="O1007" s="117"/>
      <c r="P1007" s="117"/>
      <c r="Q1007" s="117"/>
      <c r="R1007" s="117"/>
      <c r="S1007" s="117"/>
      <c r="T1007" s="117"/>
      <c r="U1007" s="118"/>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19" t="s">
        <v>3664</v>
      </c>
      <c r="D1009" s="120"/>
      <c r="E1009" s="123" t="s">
        <v>162</v>
      </c>
      <c r="H1009" s="36"/>
      <c r="I1009" s="36"/>
      <c r="J1009" s="36"/>
      <c r="K1009" s="36"/>
      <c r="L1009" s="36"/>
      <c r="M1009" s="36"/>
      <c r="N1009" s="36"/>
      <c r="O1009" s="36"/>
      <c r="P1009" s="36"/>
      <c r="Q1009" s="36"/>
      <c r="R1009" s="119" t="str">
        <f>"バックアップ_"&amp;SUBSTITUTE(C1009,"_結合","")</f>
        <v>バックアップ_MML_紹介状モジュール_処方箋</v>
      </c>
      <c r="S1009" s="120"/>
      <c r="T1009" s="125" t="str">
        <f>エンティティ一覧!$O$2</f>
        <v>milscm_2023_007</v>
      </c>
    </row>
    <row r="1010" spans="2:23" ht="18.75" customHeight="1">
      <c r="C1010" s="121"/>
      <c r="D1010" s="122"/>
      <c r="E1010" s="124"/>
      <c r="F1010" s="37"/>
      <c r="G1010" s="38"/>
      <c r="H1010" s="37"/>
      <c r="I1010" s="37"/>
      <c r="J1010" s="37"/>
      <c r="K1010" s="37"/>
      <c r="L1010" s="37"/>
      <c r="M1010" s="37"/>
      <c r="N1010" s="37"/>
      <c r="O1010" s="37"/>
      <c r="P1010" s="37"/>
      <c r="Q1010" s="37"/>
      <c r="R1010" s="121"/>
      <c r="S1010" s="122"/>
      <c r="T1010" s="126"/>
    </row>
    <row r="1011" spans="2:23" ht="18.75" customHeight="1">
      <c r="F1011" s="39"/>
      <c r="G1011" s="40"/>
    </row>
    <row r="1012" spans="2:23" ht="18.75" customHeight="1">
      <c r="C1012" s="119" t="s">
        <v>3188</v>
      </c>
      <c r="D1012" s="120"/>
      <c r="E1012" s="125" t="str">
        <f>エンティティ一覧!$O$2</f>
        <v>milscm_2023_007</v>
      </c>
      <c r="G1012" s="41"/>
    </row>
    <row r="1013" spans="2:23" ht="18.75" customHeight="1">
      <c r="C1013" s="121"/>
      <c r="D1013" s="122"/>
      <c r="E1013" s="126"/>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27" t="str">
        <f>R1021&amp;"登録"</f>
        <v>バックアップ_MML_紹介状モジュール_処方箋投薬登録</v>
      </c>
      <c r="D1018" s="128"/>
      <c r="E1018" s="128"/>
      <c r="F1018" s="128"/>
      <c r="G1018" s="128"/>
      <c r="H1018" s="128"/>
      <c r="I1018" s="128"/>
      <c r="J1018" s="128"/>
      <c r="K1018" s="128"/>
      <c r="L1018" s="128"/>
      <c r="M1018" s="128"/>
      <c r="N1018" s="128"/>
      <c r="O1018" s="128"/>
      <c r="P1018" s="128"/>
      <c r="Q1018" s="128"/>
      <c r="R1018" s="128"/>
      <c r="S1018" s="128"/>
      <c r="T1018" s="128"/>
      <c r="U1018" s="129"/>
      <c r="W1018" s="35" t="str">
        <f>"-- "&amp;C1018</f>
        <v>-- バックアップ_MML_紹介状モジュール_処方箋投薬登録</v>
      </c>
    </row>
    <row r="1019" spans="2:23" ht="18.75" customHeight="1">
      <c r="B1019" s="43" t="s">
        <v>159</v>
      </c>
      <c r="C1019" s="116"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17"/>
      <c r="E1019" s="117"/>
      <c r="F1019" s="117"/>
      <c r="G1019" s="117"/>
      <c r="H1019" s="117"/>
      <c r="I1019" s="117"/>
      <c r="J1019" s="117"/>
      <c r="K1019" s="117"/>
      <c r="L1019" s="117"/>
      <c r="M1019" s="117"/>
      <c r="N1019" s="117"/>
      <c r="O1019" s="117"/>
      <c r="P1019" s="117"/>
      <c r="Q1019" s="117"/>
      <c r="R1019" s="117"/>
      <c r="S1019" s="117"/>
      <c r="T1019" s="117"/>
      <c r="U1019" s="118"/>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19" t="s">
        <v>3666</v>
      </c>
      <c r="D1021" s="120"/>
      <c r="E1021" s="123" t="s">
        <v>162</v>
      </c>
      <c r="H1021" s="36"/>
      <c r="I1021" s="36"/>
      <c r="J1021" s="36"/>
      <c r="K1021" s="36"/>
      <c r="L1021" s="36"/>
      <c r="M1021" s="36"/>
      <c r="N1021" s="36"/>
      <c r="O1021" s="36"/>
      <c r="P1021" s="36"/>
      <c r="Q1021" s="36"/>
      <c r="R1021" s="119" t="str">
        <f>"バックアップ_"&amp;SUBSTITUTE(C1021,"_結合","")</f>
        <v>バックアップ_MML_紹介状モジュール_処方箋投薬</v>
      </c>
      <c r="S1021" s="120"/>
      <c r="T1021" s="125" t="str">
        <f>エンティティ一覧!$O$2</f>
        <v>milscm_2023_007</v>
      </c>
    </row>
    <row r="1022" spans="2:23" ht="18.75" customHeight="1">
      <c r="C1022" s="121"/>
      <c r="D1022" s="122"/>
      <c r="E1022" s="124"/>
      <c r="F1022" s="37"/>
      <c r="G1022" s="38"/>
      <c r="H1022" s="37"/>
      <c r="I1022" s="37"/>
      <c r="J1022" s="37"/>
      <c r="K1022" s="37"/>
      <c r="L1022" s="37"/>
      <c r="M1022" s="37"/>
      <c r="N1022" s="37"/>
      <c r="O1022" s="37"/>
      <c r="P1022" s="37"/>
      <c r="Q1022" s="37"/>
      <c r="R1022" s="121"/>
      <c r="S1022" s="122"/>
      <c r="T1022" s="126"/>
    </row>
    <row r="1023" spans="2:23" ht="18.75" customHeight="1">
      <c r="F1023" s="39"/>
      <c r="G1023" s="40"/>
    </row>
    <row r="1024" spans="2:23" ht="18.75" customHeight="1">
      <c r="C1024" s="119" t="s">
        <v>3188</v>
      </c>
      <c r="D1024" s="120"/>
      <c r="E1024" s="125" t="str">
        <f>エンティティ一覧!$O$2</f>
        <v>milscm_2023_007</v>
      </c>
      <c r="G1024" s="41"/>
    </row>
    <row r="1025" spans="2:23" ht="18.75" customHeight="1">
      <c r="C1025" s="121"/>
      <c r="D1025" s="122"/>
      <c r="E1025" s="126"/>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27" t="str">
        <f>R1033&amp;"登録"</f>
        <v>バックアップ_MML_紹介状モジュール_処方箋薬剤登録</v>
      </c>
      <c r="D1030" s="128"/>
      <c r="E1030" s="128"/>
      <c r="F1030" s="128"/>
      <c r="G1030" s="128"/>
      <c r="H1030" s="128"/>
      <c r="I1030" s="128"/>
      <c r="J1030" s="128"/>
      <c r="K1030" s="128"/>
      <c r="L1030" s="128"/>
      <c r="M1030" s="128"/>
      <c r="N1030" s="128"/>
      <c r="O1030" s="128"/>
      <c r="P1030" s="128"/>
      <c r="Q1030" s="128"/>
      <c r="R1030" s="128"/>
      <c r="S1030" s="128"/>
      <c r="T1030" s="128"/>
      <c r="U1030" s="129"/>
      <c r="W1030" s="35" t="str">
        <f>"-- "&amp;C1030</f>
        <v>-- バックアップ_MML_紹介状モジュール_処方箋薬剤登録</v>
      </c>
    </row>
    <row r="1031" spans="2:23" ht="18.75" customHeight="1">
      <c r="B1031" s="43" t="s">
        <v>159</v>
      </c>
      <c r="C1031" s="116"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17"/>
      <c r="E1031" s="117"/>
      <c r="F1031" s="117"/>
      <c r="G1031" s="117"/>
      <c r="H1031" s="117"/>
      <c r="I1031" s="117"/>
      <c r="J1031" s="117"/>
      <c r="K1031" s="117"/>
      <c r="L1031" s="117"/>
      <c r="M1031" s="117"/>
      <c r="N1031" s="117"/>
      <c r="O1031" s="117"/>
      <c r="P1031" s="117"/>
      <c r="Q1031" s="117"/>
      <c r="R1031" s="117"/>
      <c r="S1031" s="117"/>
      <c r="T1031" s="117"/>
      <c r="U1031" s="118"/>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19" t="s">
        <v>3668</v>
      </c>
      <c r="D1033" s="120"/>
      <c r="E1033" s="123" t="s">
        <v>162</v>
      </c>
      <c r="H1033" s="36"/>
      <c r="I1033" s="36"/>
      <c r="J1033" s="36"/>
      <c r="K1033" s="36"/>
      <c r="L1033" s="36"/>
      <c r="M1033" s="36"/>
      <c r="N1033" s="36"/>
      <c r="O1033" s="36"/>
      <c r="P1033" s="36"/>
      <c r="Q1033" s="36"/>
      <c r="R1033" s="119" t="str">
        <f>"バックアップ_"&amp;SUBSTITUTE(C1033,"_結合","")</f>
        <v>バックアップ_MML_紹介状モジュール_処方箋薬剤</v>
      </c>
      <c r="S1033" s="120"/>
      <c r="T1033" s="125" t="str">
        <f>エンティティ一覧!$O$2</f>
        <v>milscm_2023_007</v>
      </c>
    </row>
    <row r="1034" spans="2:23" ht="18.75" customHeight="1">
      <c r="C1034" s="121"/>
      <c r="D1034" s="122"/>
      <c r="E1034" s="124"/>
      <c r="F1034" s="37"/>
      <c r="G1034" s="38"/>
      <c r="H1034" s="37"/>
      <c r="I1034" s="37"/>
      <c r="J1034" s="37"/>
      <c r="K1034" s="37"/>
      <c r="L1034" s="37"/>
      <c r="M1034" s="37"/>
      <c r="N1034" s="37"/>
      <c r="O1034" s="37"/>
      <c r="P1034" s="37"/>
      <c r="Q1034" s="37"/>
      <c r="R1034" s="121"/>
      <c r="S1034" s="122"/>
      <c r="T1034" s="126"/>
    </row>
    <row r="1035" spans="2:23" ht="18.75" customHeight="1">
      <c r="F1035" s="39"/>
      <c r="G1035" s="40"/>
    </row>
    <row r="1036" spans="2:23" ht="18.75" customHeight="1">
      <c r="C1036" s="119" t="s">
        <v>3188</v>
      </c>
      <c r="D1036" s="120"/>
      <c r="E1036" s="125" t="str">
        <f>エンティティ一覧!$O$2</f>
        <v>milscm_2023_007</v>
      </c>
      <c r="G1036" s="41"/>
    </row>
    <row r="1037" spans="2:23" ht="18.75" customHeight="1">
      <c r="C1037" s="121"/>
      <c r="D1037" s="122"/>
      <c r="E1037" s="126"/>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27" t="str">
        <f>R1045&amp;"登録"</f>
        <v>バックアップ_MML_紹介状モジュール_臨床サマリー情報経過記録登録</v>
      </c>
      <c r="D1042" s="128"/>
      <c r="E1042" s="128"/>
      <c r="F1042" s="128"/>
      <c r="G1042" s="128"/>
      <c r="H1042" s="128"/>
      <c r="I1042" s="128"/>
      <c r="J1042" s="128"/>
      <c r="K1042" s="128"/>
      <c r="L1042" s="128"/>
      <c r="M1042" s="128"/>
      <c r="N1042" s="128"/>
      <c r="O1042" s="128"/>
      <c r="P1042" s="128"/>
      <c r="Q1042" s="128"/>
      <c r="R1042" s="128"/>
      <c r="S1042" s="128"/>
      <c r="T1042" s="128"/>
      <c r="U1042" s="129"/>
      <c r="W1042" s="35" t="str">
        <f>"-- "&amp;C1042</f>
        <v>-- バックアップ_MML_紹介状モジュール_臨床サマリー情報経過記録登録</v>
      </c>
    </row>
    <row r="1043" spans="2:23" ht="18.75" customHeight="1">
      <c r="B1043" s="43" t="s">
        <v>159</v>
      </c>
      <c r="C1043" s="116"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17"/>
      <c r="E1043" s="117"/>
      <c r="F1043" s="117"/>
      <c r="G1043" s="117"/>
      <c r="H1043" s="117"/>
      <c r="I1043" s="117"/>
      <c r="J1043" s="117"/>
      <c r="K1043" s="117"/>
      <c r="L1043" s="117"/>
      <c r="M1043" s="117"/>
      <c r="N1043" s="117"/>
      <c r="O1043" s="117"/>
      <c r="P1043" s="117"/>
      <c r="Q1043" s="117"/>
      <c r="R1043" s="117"/>
      <c r="S1043" s="117"/>
      <c r="T1043" s="117"/>
      <c r="U1043" s="118"/>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19" t="s">
        <v>3670</v>
      </c>
      <c r="D1045" s="120"/>
      <c r="E1045" s="123" t="s">
        <v>162</v>
      </c>
      <c r="H1045" s="36"/>
      <c r="I1045" s="36"/>
      <c r="J1045" s="36"/>
      <c r="K1045" s="36"/>
      <c r="L1045" s="36"/>
      <c r="M1045" s="36"/>
      <c r="N1045" s="36"/>
      <c r="O1045" s="36"/>
      <c r="P1045" s="36"/>
      <c r="Q1045" s="36"/>
      <c r="R1045" s="134" t="str">
        <f>"バックアップ_"&amp;SUBSTITUTE(C1045,"_結合","")</f>
        <v>バックアップ_MML_紹介状モジュール_臨床サマリー情報経過記録</v>
      </c>
      <c r="S1045" s="135"/>
      <c r="T1045" s="125" t="str">
        <f>エンティティ一覧!$O$2</f>
        <v>milscm_2023_007</v>
      </c>
    </row>
    <row r="1046" spans="2:23" ht="18.75" customHeight="1">
      <c r="C1046" s="121"/>
      <c r="D1046" s="122"/>
      <c r="E1046" s="124"/>
      <c r="F1046" s="37"/>
      <c r="G1046" s="38"/>
      <c r="H1046" s="37"/>
      <c r="I1046" s="37"/>
      <c r="J1046" s="37"/>
      <c r="K1046" s="37"/>
      <c r="L1046" s="37"/>
      <c r="M1046" s="37"/>
      <c r="N1046" s="37"/>
      <c r="O1046" s="37"/>
      <c r="P1046" s="37"/>
      <c r="Q1046" s="37"/>
      <c r="R1046" s="136"/>
      <c r="S1046" s="137"/>
      <c r="T1046" s="126"/>
    </row>
    <row r="1047" spans="2:23" ht="18.75" customHeight="1">
      <c r="F1047" s="39"/>
      <c r="G1047" s="40"/>
    </row>
    <row r="1048" spans="2:23" ht="18.75" customHeight="1">
      <c r="C1048" s="119" t="s">
        <v>3188</v>
      </c>
      <c r="D1048" s="120"/>
      <c r="E1048" s="125" t="str">
        <f>エンティティ一覧!$O$2</f>
        <v>milscm_2023_007</v>
      </c>
      <c r="G1048" s="41"/>
    </row>
    <row r="1049" spans="2:23" ht="18.75" customHeight="1">
      <c r="C1049" s="121"/>
      <c r="D1049" s="122"/>
      <c r="E1049" s="126"/>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27" t="str">
        <f>R1057&amp;"登録"</f>
        <v>バックアップ_MML_紹介状モジュール_診療科情報登録</v>
      </c>
      <c r="D1054" s="128"/>
      <c r="E1054" s="128"/>
      <c r="F1054" s="128"/>
      <c r="G1054" s="128"/>
      <c r="H1054" s="128"/>
      <c r="I1054" s="128"/>
      <c r="J1054" s="128"/>
      <c r="K1054" s="128"/>
      <c r="L1054" s="128"/>
      <c r="M1054" s="128"/>
      <c r="N1054" s="128"/>
      <c r="O1054" s="128"/>
      <c r="P1054" s="128"/>
      <c r="Q1054" s="128"/>
      <c r="R1054" s="128"/>
      <c r="S1054" s="128"/>
      <c r="T1054" s="128"/>
      <c r="U1054" s="129"/>
      <c r="W1054" s="35" t="str">
        <f>"-- "&amp;C1054</f>
        <v>-- バックアップ_MML_紹介状モジュール_診療科情報登録</v>
      </c>
    </row>
    <row r="1055" spans="2:23" ht="18.75" customHeight="1">
      <c r="B1055" s="43" t="s">
        <v>159</v>
      </c>
      <c r="C1055" s="116"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17"/>
      <c r="E1055" s="117"/>
      <c r="F1055" s="117"/>
      <c r="G1055" s="117"/>
      <c r="H1055" s="117"/>
      <c r="I1055" s="117"/>
      <c r="J1055" s="117"/>
      <c r="K1055" s="117"/>
      <c r="L1055" s="117"/>
      <c r="M1055" s="117"/>
      <c r="N1055" s="117"/>
      <c r="O1055" s="117"/>
      <c r="P1055" s="117"/>
      <c r="Q1055" s="117"/>
      <c r="R1055" s="117"/>
      <c r="S1055" s="117"/>
      <c r="T1055" s="117"/>
      <c r="U1055" s="118"/>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19" t="s">
        <v>3672</v>
      </c>
      <c r="D1057" s="120"/>
      <c r="E1057" s="123" t="s">
        <v>162</v>
      </c>
      <c r="H1057" s="36"/>
      <c r="I1057" s="36"/>
      <c r="J1057" s="36"/>
      <c r="K1057" s="36"/>
      <c r="L1057" s="36"/>
      <c r="M1057" s="36"/>
      <c r="N1057" s="36"/>
      <c r="O1057" s="36"/>
      <c r="P1057" s="36"/>
      <c r="Q1057" s="36"/>
      <c r="R1057" s="119" t="str">
        <f>"バックアップ_"&amp;SUBSTITUTE(C1057,"_結合","")</f>
        <v>バックアップ_MML_紹介状モジュール_診療科情報</v>
      </c>
      <c r="S1057" s="120"/>
      <c r="T1057" s="125" t="str">
        <f>エンティティ一覧!$O$2</f>
        <v>milscm_2023_007</v>
      </c>
    </row>
    <row r="1058" spans="2:23" ht="18.75" customHeight="1">
      <c r="C1058" s="121"/>
      <c r="D1058" s="122"/>
      <c r="E1058" s="124"/>
      <c r="F1058" s="37"/>
      <c r="G1058" s="38"/>
      <c r="H1058" s="37"/>
      <c r="I1058" s="37"/>
      <c r="J1058" s="37"/>
      <c r="K1058" s="37"/>
      <c r="L1058" s="37"/>
      <c r="M1058" s="37"/>
      <c r="N1058" s="37"/>
      <c r="O1058" s="37"/>
      <c r="P1058" s="37"/>
      <c r="Q1058" s="37"/>
      <c r="R1058" s="121"/>
      <c r="S1058" s="122"/>
      <c r="T1058" s="126"/>
    </row>
    <row r="1059" spans="2:23" ht="18.75" customHeight="1">
      <c r="F1059" s="39"/>
      <c r="G1059" s="40"/>
    </row>
    <row r="1060" spans="2:23" ht="18.75" customHeight="1">
      <c r="C1060" s="119" t="s">
        <v>3188</v>
      </c>
      <c r="D1060" s="120"/>
      <c r="E1060" s="125" t="str">
        <f>エンティティ一覧!$O$2</f>
        <v>milscm_2023_007</v>
      </c>
      <c r="G1060" s="41"/>
    </row>
    <row r="1061" spans="2:23" ht="18.75" customHeight="1">
      <c r="C1061" s="121"/>
      <c r="D1061" s="122"/>
      <c r="E1061" s="126"/>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27" t="str">
        <f>R1069&amp;"登録"</f>
        <v>バックアップ_DPC調査データ_Dファイル登録</v>
      </c>
      <c r="D1066" s="128"/>
      <c r="E1066" s="128"/>
      <c r="F1066" s="128"/>
      <c r="G1066" s="128"/>
      <c r="H1066" s="128"/>
      <c r="I1066" s="128"/>
      <c r="J1066" s="128"/>
      <c r="K1066" s="128"/>
      <c r="L1066" s="128"/>
      <c r="M1066" s="128"/>
      <c r="N1066" s="128"/>
      <c r="O1066" s="128"/>
      <c r="P1066" s="128"/>
      <c r="Q1066" s="128"/>
      <c r="R1066" s="128"/>
      <c r="S1066" s="128"/>
      <c r="T1066" s="128"/>
      <c r="U1066" s="129"/>
      <c r="W1066" s="35" t="str">
        <f>"-- "&amp;C1066</f>
        <v>-- バックアップ_DPC調査データ_Dファイル登録</v>
      </c>
    </row>
    <row r="1067" spans="2:23" ht="18.75" customHeight="1">
      <c r="B1067" s="43" t="s">
        <v>159</v>
      </c>
      <c r="C1067" s="116"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17"/>
      <c r="E1067" s="117"/>
      <c r="F1067" s="117"/>
      <c r="G1067" s="117"/>
      <c r="H1067" s="117"/>
      <c r="I1067" s="117"/>
      <c r="J1067" s="117"/>
      <c r="K1067" s="117"/>
      <c r="L1067" s="117"/>
      <c r="M1067" s="117"/>
      <c r="N1067" s="117"/>
      <c r="O1067" s="117"/>
      <c r="P1067" s="117"/>
      <c r="Q1067" s="117"/>
      <c r="R1067" s="117"/>
      <c r="S1067" s="117"/>
      <c r="T1067" s="117"/>
      <c r="U1067" s="118"/>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19" t="s">
        <v>166</v>
      </c>
      <c r="D1069" s="120"/>
      <c r="E1069" s="123" t="s">
        <v>162</v>
      </c>
      <c r="H1069" s="36"/>
      <c r="I1069" s="36"/>
      <c r="J1069" s="36"/>
      <c r="K1069" s="36"/>
      <c r="L1069" s="36"/>
      <c r="M1069" s="36"/>
      <c r="N1069" s="36"/>
      <c r="O1069" s="36"/>
      <c r="P1069" s="36"/>
      <c r="Q1069" s="36"/>
      <c r="R1069" s="119" t="str">
        <f>"バックアップ_"&amp;SUBSTITUTE(C1069,"_結合","")</f>
        <v>バックアップ_DPC調査データ_Dファイル</v>
      </c>
      <c r="S1069" s="120"/>
      <c r="T1069" s="125" t="str">
        <f>エンティティ一覧!$O$2</f>
        <v>milscm_2023_007</v>
      </c>
    </row>
    <row r="1070" spans="2:23" ht="18.75" customHeight="1">
      <c r="C1070" s="121"/>
      <c r="D1070" s="122"/>
      <c r="E1070" s="124"/>
      <c r="F1070" s="37"/>
      <c r="G1070" s="38"/>
      <c r="H1070" s="37"/>
      <c r="I1070" s="37"/>
      <c r="J1070" s="37"/>
      <c r="K1070" s="37"/>
      <c r="L1070" s="37"/>
      <c r="M1070" s="37"/>
      <c r="N1070" s="37"/>
      <c r="O1070" s="37"/>
      <c r="P1070" s="37"/>
      <c r="Q1070" s="37"/>
      <c r="R1070" s="121"/>
      <c r="S1070" s="122"/>
      <c r="T1070" s="126"/>
    </row>
    <row r="1071" spans="2:23" ht="18.75" customHeight="1">
      <c r="F1071" s="39"/>
      <c r="G1071" s="40"/>
    </row>
    <row r="1072" spans="2:23" ht="18.75" customHeight="1">
      <c r="C1072" s="119" t="s">
        <v>3188</v>
      </c>
      <c r="D1072" s="120"/>
      <c r="E1072" s="125" t="str">
        <f>エンティティ一覧!$O$2</f>
        <v>milscm_2023_007</v>
      </c>
      <c r="G1072" s="41"/>
    </row>
    <row r="1073" spans="2:23" ht="18.75" customHeight="1">
      <c r="C1073" s="121"/>
      <c r="D1073" s="122"/>
      <c r="E1073" s="126"/>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27" t="str">
        <f>R1081&amp;"登録"</f>
        <v>バックアップ_DPC調査データ_入院EF統合ファイル登録</v>
      </c>
      <c r="D1078" s="128"/>
      <c r="E1078" s="128"/>
      <c r="F1078" s="128"/>
      <c r="G1078" s="128"/>
      <c r="H1078" s="128"/>
      <c r="I1078" s="128"/>
      <c r="J1078" s="128"/>
      <c r="K1078" s="128"/>
      <c r="L1078" s="128"/>
      <c r="M1078" s="128"/>
      <c r="N1078" s="128"/>
      <c r="O1078" s="128"/>
      <c r="P1078" s="128"/>
      <c r="Q1078" s="128"/>
      <c r="R1078" s="128"/>
      <c r="S1078" s="128"/>
      <c r="T1078" s="128"/>
      <c r="U1078" s="129"/>
      <c r="W1078" s="35" t="str">
        <f>"-- "&amp;C1078</f>
        <v>-- バックアップ_DPC調査データ_入院EF統合ファイル登録</v>
      </c>
    </row>
    <row r="1079" spans="2:23" ht="18.75" customHeight="1">
      <c r="B1079" s="43" t="s">
        <v>159</v>
      </c>
      <c r="C1079" s="116"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17"/>
      <c r="E1079" s="117"/>
      <c r="F1079" s="117"/>
      <c r="G1079" s="117"/>
      <c r="H1079" s="117"/>
      <c r="I1079" s="117"/>
      <c r="J1079" s="117"/>
      <c r="K1079" s="117"/>
      <c r="L1079" s="117"/>
      <c r="M1079" s="117"/>
      <c r="N1079" s="117"/>
      <c r="O1079" s="117"/>
      <c r="P1079" s="117"/>
      <c r="Q1079" s="117"/>
      <c r="R1079" s="117"/>
      <c r="S1079" s="117"/>
      <c r="T1079" s="117"/>
      <c r="U1079" s="118"/>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19" t="s">
        <v>167</v>
      </c>
      <c r="D1081" s="120"/>
      <c r="E1081" s="123" t="s">
        <v>162</v>
      </c>
      <c r="H1081" s="36"/>
      <c r="I1081" s="36"/>
      <c r="J1081" s="36"/>
      <c r="K1081" s="36"/>
      <c r="L1081" s="36"/>
      <c r="M1081" s="36"/>
      <c r="N1081" s="36"/>
      <c r="O1081" s="36"/>
      <c r="P1081" s="36"/>
      <c r="Q1081" s="36"/>
      <c r="R1081" s="119" t="str">
        <f>"バックアップ_"&amp;SUBSTITUTE(C1081,"_結合","")</f>
        <v>バックアップ_DPC調査データ_入院EF統合ファイル</v>
      </c>
      <c r="S1081" s="120"/>
      <c r="T1081" s="125" t="str">
        <f>エンティティ一覧!$O$2</f>
        <v>milscm_2023_007</v>
      </c>
    </row>
    <row r="1082" spans="2:23" ht="18.75" customHeight="1">
      <c r="C1082" s="121"/>
      <c r="D1082" s="122"/>
      <c r="E1082" s="124"/>
      <c r="F1082" s="37"/>
      <c r="G1082" s="38"/>
      <c r="H1082" s="37"/>
      <c r="I1082" s="37"/>
      <c r="J1082" s="37"/>
      <c r="K1082" s="37"/>
      <c r="L1082" s="37"/>
      <c r="M1082" s="37"/>
      <c r="N1082" s="37"/>
      <c r="O1082" s="37"/>
      <c r="P1082" s="37"/>
      <c r="Q1082" s="37"/>
      <c r="R1082" s="121"/>
      <c r="S1082" s="122"/>
      <c r="T1082" s="126"/>
    </row>
    <row r="1083" spans="2:23" ht="18.75" customHeight="1">
      <c r="F1083" s="39"/>
      <c r="G1083" s="40"/>
    </row>
    <row r="1084" spans="2:23" ht="18.75" customHeight="1">
      <c r="C1084" s="119" t="s">
        <v>3188</v>
      </c>
      <c r="D1084" s="120"/>
      <c r="E1084" s="125" t="str">
        <f>エンティティ一覧!$O$2</f>
        <v>milscm_2023_007</v>
      </c>
      <c r="G1084" s="41"/>
    </row>
    <row r="1085" spans="2:23" ht="18.75" customHeight="1">
      <c r="C1085" s="121"/>
      <c r="D1085" s="122"/>
      <c r="E1085" s="126"/>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27" t="str">
        <f>R1093&amp;"登録"</f>
        <v>バックアップ_DPC調査データ_外来EF統合ファイル登録</v>
      </c>
      <c r="D1090" s="128"/>
      <c r="E1090" s="128"/>
      <c r="F1090" s="128"/>
      <c r="G1090" s="128"/>
      <c r="H1090" s="128"/>
      <c r="I1090" s="128"/>
      <c r="J1090" s="128"/>
      <c r="K1090" s="128"/>
      <c r="L1090" s="128"/>
      <c r="M1090" s="128"/>
      <c r="N1090" s="128"/>
      <c r="O1090" s="128"/>
      <c r="P1090" s="128"/>
      <c r="Q1090" s="128"/>
      <c r="R1090" s="128"/>
      <c r="S1090" s="128"/>
      <c r="T1090" s="128"/>
      <c r="U1090" s="129"/>
      <c r="W1090" s="35" t="str">
        <f>"-- "&amp;C1090</f>
        <v>-- バックアップ_DPC調査データ_外来EF統合ファイル登録</v>
      </c>
    </row>
    <row r="1091" spans="2:23" ht="18.75" customHeight="1">
      <c r="B1091" s="43" t="s">
        <v>159</v>
      </c>
      <c r="C1091" s="116"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17"/>
      <c r="E1091" s="117"/>
      <c r="F1091" s="117"/>
      <c r="G1091" s="117"/>
      <c r="H1091" s="117"/>
      <c r="I1091" s="117"/>
      <c r="J1091" s="117"/>
      <c r="K1091" s="117"/>
      <c r="L1091" s="117"/>
      <c r="M1091" s="117"/>
      <c r="N1091" s="117"/>
      <c r="O1091" s="117"/>
      <c r="P1091" s="117"/>
      <c r="Q1091" s="117"/>
      <c r="R1091" s="117"/>
      <c r="S1091" s="117"/>
      <c r="T1091" s="117"/>
      <c r="U1091" s="118"/>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19" t="s">
        <v>168</v>
      </c>
      <c r="D1093" s="120"/>
      <c r="E1093" s="123" t="s">
        <v>162</v>
      </c>
      <c r="H1093" s="36"/>
      <c r="I1093" s="36"/>
      <c r="J1093" s="36"/>
      <c r="K1093" s="36"/>
      <c r="L1093" s="36"/>
      <c r="M1093" s="36"/>
      <c r="N1093" s="36"/>
      <c r="O1093" s="36"/>
      <c r="P1093" s="36"/>
      <c r="Q1093" s="36"/>
      <c r="R1093" s="119" t="str">
        <f>"バックアップ_"&amp;SUBSTITUTE(C1093,"_結合","")</f>
        <v>バックアップ_DPC調査データ_外来EF統合ファイル</v>
      </c>
      <c r="S1093" s="120"/>
      <c r="T1093" s="125" t="str">
        <f>エンティティ一覧!$O$2</f>
        <v>milscm_2023_007</v>
      </c>
    </row>
    <row r="1094" spans="2:23" ht="18.75" customHeight="1">
      <c r="C1094" s="121"/>
      <c r="D1094" s="122"/>
      <c r="E1094" s="124"/>
      <c r="F1094" s="37"/>
      <c r="G1094" s="38"/>
      <c r="H1094" s="37"/>
      <c r="I1094" s="37"/>
      <c r="J1094" s="37"/>
      <c r="K1094" s="37"/>
      <c r="L1094" s="37"/>
      <c r="M1094" s="37"/>
      <c r="N1094" s="37"/>
      <c r="O1094" s="37"/>
      <c r="P1094" s="37"/>
      <c r="Q1094" s="37"/>
      <c r="R1094" s="121"/>
      <c r="S1094" s="122"/>
      <c r="T1094" s="126"/>
    </row>
    <row r="1095" spans="2:23" ht="18.75" customHeight="1">
      <c r="F1095" s="39"/>
      <c r="G1095" s="40"/>
    </row>
    <row r="1096" spans="2:23" ht="18.75" customHeight="1">
      <c r="C1096" s="119" t="s">
        <v>3188</v>
      </c>
      <c r="D1096" s="120"/>
      <c r="E1096" s="125" t="str">
        <f>エンティティ一覧!$O$2</f>
        <v>milscm_2023_007</v>
      </c>
      <c r="G1096" s="41"/>
    </row>
    <row r="1097" spans="2:23" ht="18.75" customHeight="1">
      <c r="C1097" s="121"/>
      <c r="D1097" s="122"/>
      <c r="E1097" s="126"/>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27" t="str">
        <f>R1105&amp;"登録"</f>
        <v>バックアップ_DPC調査データ_Hファイル登録</v>
      </c>
      <c r="D1102" s="128"/>
      <c r="E1102" s="128"/>
      <c r="F1102" s="128"/>
      <c r="G1102" s="128"/>
      <c r="H1102" s="128"/>
      <c r="I1102" s="128"/>
      <c r="J1102" s="128"/>
      <c r="K1102" s="128"/>
      <c r="L1102" s="128"/>
      <c r="M1102" s="128"/>
      <c r="N1102" s="128"/>
      <c r="O1102" s="128"/>
      <c r="P1102" s="128"/>
      <c r="Q1102" s="128"/>
      <c r="R1102" s="128"/>
      <c r="S1102" s="128"/>
      <c r="T1102" s="128"/>
      <c r="U1102" s="129"/>
      <c r="W1102" s="35" t="str">
        <f>"-- "&amp;C1102</f>
        <v>-- バックアップ_DPC調査データ_Hファイル登録</v>
      </c>
    </row>
    <row r="1103" spans="2:23" ht="18.75" customHeight="1">
      <c r="B1103" s="43" t="s">
        <v>159</v>
      </c>
      <c r="C1103" s="116"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17"/>
      <c r="E1103" s="117"/>
      <c r="F1103" s="117"/>
      <c r="G1103" s="117"/>
      <c r="H1103" s="117"/>
      <c r="I1103" s="117"/>
      <c r="J1103" s="117"/>
      <c r="K1103" s="117"/>
      <c r="L1103" s="117"/>
      <c r="M1103" s="117"/>
      <c r="N1103" s="117"/>
      <c r="O1103" s="117"/>
      <c r="P1103" s="117"/>
      <c r="Q1103" s="117"/>
      <c r="R1103" s="117"/>
      <c r="S1103" s="117"/>
      <c r="T1103" s="117"/>
      <c r="U1103" s="118"/>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19" t="s">
        <v>169</v>
      </c>
      <c r="D1105" s="120"/>
      <c r="E1105" s="123" t="s">
        <v>162</v>
      </c>
      <c r="H1105" s="36"/>
      <c r="I1105" s="36"/>
      <c r="J1105" s="36"/>
      <c r="K1105" s="36"/>
      <c r="L1105" s="36"/>
      <c r="M1105" s="36"/>
      <c r="N1105" s="36"/>
      <c r="O1105" s="36"/>
      <c r="P1105" s="36"/>
      <c r="Q1105" s="36"/>
      <c r="R1105" s="119" t="str">
        <f>"バックアップ_"&amp;SUBSTITUTE(C1105,"_結合","")</f>
        <v>バックアップ_DPC調査データ_Hファイル</v>
      </c>
      <c r="S1105" s="120"/>
      <c r="T1105" s="125" t="str">
        <f>エンティティ一覧!$O$2</f>
        <v>milscm_2023_007</v>
      </c>
    </row>
    <row r="1106" spans="2:23" ht="18.75" customHeight="1">
      <c r="C1106" s="121"/>
      <c r="D1106" s="122"/>
      <c r="E1106" s="124"/>
      <c r="F1106" s="37"/>
      <c r="G1106" s="38"/>
      <c r="H1106" s="37"/>
      <c r="I1106" s="37"/>
      <c r="J1106" s="37"/>
      <c r="K1106" s="37"/>
      <c r="L1106" s="37"/>
      <c r="M1106" s="37"/>
      <c r="N1106" s="37"/>
      <c r="O1106" s="37"/>
      <c r="P1106" s="37"/>
      <c r="Q1106" s="37"/>
      <c r="R1106" s="121"/>
      <c r="S1106" s="122"/>
      <c r="T1106" s="126"/>
    </row>
    <row r="1107" spans="2:23" ht="18.75" customHeight="1">
      <c r="F1107" s="39"/>
      <c r="G1107" s="40"/>
    </row>
    <row r="1108" spans="2:23" ht="18.75" customHeight="1">
      <c r="C1108" s="119" t="s">
        <v>3188</v>
      </c>
      <c r="D1108" s="120"/>
      <c r="E1108" s="125" t="str">
        <f>エンティティ一覧!$O$2</f>
        <v>milscm_2023_007</v>
      </c>
      <c r="G1108" s="41"/>
    </row>
    <row r="1109" spans="2:23" ht="18.75" customHeight="1">
      <c r="C1109" s="121"/>
      <c r="D1109" s="122"/>
      <c r="E1109" s="126"/>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27" t="str">
        <f>R1117&amp;"登録"</f>
        <v>バックアップ_DPC調査データ_様式1登録</v>
      </c>
      <c r="D1114" s="128"/>
      <c r="E1114" s="128"/>
      <c r="F1114" s="128"/>
      <c r="G1114" s="128"/>
      <c r="H1114" s="128"/>
      <c r="I1114" s="128"/>
      <c r="J1114" s="128"/>
      <c r="K1114" s="128"/>
      <c r="L1114" s="128"/>
      <c r="M1114" s="128"/>
      <c r="N1114" s="128"/>
      <c r="O1114" s="128"/>
      <c r="P1114" s="128"/>
      <c r="Q1114" s="128"/>
      <c r="R1114" s="128"/>
      <c r="S1114" s="128"/>
      <c r="T1114" s="128"/>
      <c r="U1114" s="129"/>
      <c r="W1114" s="35" t="str">
        <f>"-- "&amp;C1114</f>
        <v>-- バックアップ_DPC調査データ_様式1登録</v>
      </c>
    </row>
    <row r="1115" spans="2:23" ht="18.75" customHeight="1">
      <c r="B1115" s="43" t="s">
        <v>159</v>
      </c>
      <c r="C1115" s="116"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17"/>
      <c r="E1115" s="117"/>
      <c r="F1115" s="117"/>
      <c r="G1115" s="117"/>
      <c r="H1115" s="117"/>
      <c r="I1115" s="117"/>
      <c r="J1115" s="117"/>
      <c r="K1115" s="117"/>
      <c r="L1115" s="117"/>
      <c r="M1115" s="117"/>
      <c r="N1115" s="117"/>
      <c r="O1115" s="117"/>
      <c r="P1115" s="117"/>
      <c r="Q1115" s="117"/>
      <c r="R1115" s="117"/>
      <c r="S1115" s="117"/>
      <c r="T1115" s="117"/>
      <c r="U1115" s="118"/>
      <c r="W1115" s="35" t="str">
        <f>"-- "&amp;C1115</f>
        <v>-- DPC調査データ_様式1_結合テーブルから組入れ条件の第一条件で絞り込んだ結果をバックアップ_DPC調査データ_様式1テーブルに格納する。</v>
      </c>
    </row>
    <row r="1117" spans="2:23" ht="18.75" customHeight="1">
      <c r="C1117" s="119" t="s">
        <v>170</v>
      </c>
      <c r="D1117" s="120"/>
      <c r="E1117" s="123" t="s">
        <v>162</v>
      </c>
      <c r="H1117" s="36"/>
      <c r="I1117" s="36"/>
      <c r="J1117" s="36"/>
      <c r="K1117" s="36"/>
      <c r="L1117" s="36"/>
      <c r="M1117" s="36"/>
      <c r="N1117" s="36"/>
      <c r="O1117" s="36"/>
      <c r="P1117" s="36"/>
      <c r="Q1117" s="36"/>
      <c r="R1117" s="119" t="str">
        <f>"バックアップ_"&amp;SUBSTITUTE(C1117,"_結合","")</f>
        <v>バックアップ_DPC調査データ_様式1</v>
      </c>
      <c r="S1117" s="120"/>
      <c r="T1117" s="125" t="str">
        <f>エンティティ一覧!$O$2</f>
        <v>milscm_2023_007</v>
      </c>
    </row>
    <row r="1118" spans="2:23" ht="18.75" customHeight="1">
      <c r="C1118" s="121"/>
      <c r="D1118" s="122"/>
      <c r="E1118" s="124"/>
      <c r="F1118" s="37"/>
      <c r="G1118" s="38"/>
      <c r="H1118" s="37"/>
      <c r="I1118" s="37"/>
      <c r="J1118" s="37"/>
      <c r="K1118" s="37"/>
      <c r="L1118" s="37"/>
      <c r="M1118" s="37"/>
      <c r="N1118" s="37"/>
      <c r="O1118" s="37"/>
      <c r="P1118" s="37"/>
      <c r="Q1118" s="37"/>
      <c r="R1118" s="121"/>
      <c r="S1118" s="122"/>
      <c r="T1118" s="126"/>
    </row>
    <row r="1119" spans="2:23" ht="18.75" customHeight="1">
      <c r="F1119" s="39"/>
      <c r="G1119" s="40"/>
    </row>
    <row r="1120" spans="2:23" ht="18.75" customHeight="1">
      <c r="C1120" s="119" t="s">
        <v>3188</v>
      </c>
      <c r="D1120" s="120"/>
      <c r="E1120" s="125" t="str">
        <f>エンティティ一覧!$O$2</f>
        <v>milscm_2023_007</v>
      </c>
      <c r="G1120" s="41"/>
    </row>
    <row r="1121" spans="2:23" ht="18.75" customHeight="1">
      <c r="C1121" s="121"/>
      <c r="D1121" s="122"/>
      <c r="E1121" s="126"/>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27" t="str">
        <f>R1129&amp;"登録"</f>
        <v>バックアップ_DPC調査データ_様式1_診断情報_併存症登録</v>
      </c>
      <c r="D1126" s="128"/>
      <c r="E1126" s="128"/>
      <c r="F1126" s="128"/>
      <c r="G1126" s="128"/>
      <c r="H1126" s="128"/>
      <c r="I1126" s="128"/>
      <c r="J1126" s="128"/>
      <c r="K1126" s="128"/>
      <c r="L1126" s="128"/>
      <c r="M1126" s="128"/>
      <c r="N1126" s="128"/>
      <c r="O1126" s="128"/>
      <c r="P1126" s="128"/>
      <c r="Q1126" s="128"/>
      <c r="R1126" s="128"/>
      <c r="S1126" s="128"/>
      <c r="T1126" s="128"/>
      <c r="U1126" s="129"/>
      <c r="W1126" s="35" t="str">
        <f>"-- "&amp;C1126</f>
        <v>-- バックアップ_DPC調査データ_様式1_診断情報_併存症登録</v>
      </c>
    </row>
    <row r="1127" spans="2:23" ht="18.75" customHeight="1">
      <c r="B1127" s="43" t="s">
        <v>159</v>
      </c>
      <c r="C1127" s="116"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17"/>
      <c r="E1127" s="117"/>
      <c r="F1127" s="117"/>
      <c r="G1127" s="117"/>
      <c r="H1127" s="117"/>
      <c r="I1127" s="117"/>
      <c r="J1127" s="117"/>
      <c r="K1127" s="117"/>
      <c r="L1127" s="117"/>
      <c r="M1127" s="117"/>
      <c r="N1127" s="117"/>
      <c r="O1127" s="117"/>
      <c r="P1127" s="117"/>
      <c r="Q1127" s="117"/>
      <c r="R1127" s="117"/>
      <c r="S1127" s="117"/>
      <c r="T1127" s="117"/>
      <c r="U1127" s="118"/>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19" t="s">
        <v>171</v>
      </c>
      <c r="D1129" s="120"/>
      <c r="E1129" s="123" t="s">
        <v>162</v>
      </c>
      <c r="H1129" s="36"/>
      <c r="I1129" s="36"/>
      <c r="J1129" s="36"/>
      <c r="K1129" s="36"/>
      <c r="L1129" s="36"/>
      <c r="M1129" s="36"/>
      <c r="N1129" s="36"/>
      <c r="O1129" s="36"/>
      <c r="P1129" s="36"/>
      <c r="Q1129" s="36"/>
      <c r="R1129" s="119" t="str">
        <f>"バックアップ_"&amp;SUBSTITUTE(C1129,"_結合","")</f>
        <v>バックアップ_DPC調査データ_様式1_診断情報_併存症</v>
      </c>
      <c r="S1129" s="120"/>
      <c r="T1129" s="125" t="str">
        <f>エンティティ一覧!$O$2</f>
        <v>milscm_2023_007</v>
      </c>
    </row>
    <row r="1130" spans="2:23" ht="18.75" customHeight="1">
      <c r="C1130" s="121"/>
      <c r="D1130" s="122"/>
      <c r="E1130" s="124"/>
      <c r="F1130" s="37"/>
      <c r="G1130" s="38"/>
      <c r="H1130" s="37"/>
      <c r="I1130" s="37"/>
      <c r="J1130" s="37"/>
      <c r="K1130" s="37"/>
      <c r="L1130" s="37"/>
      <c r="M1130" s="37"/>
      <c r="N1130" s="37"/>
      <c r="O1130" s="37"/>
      <c r="P1130" s="37"/>
      <c r="Q1130" s="37"/>
      <c r="R1130" s="121"/>
      <c r="S1130" s="122"/>
      <c r="T1130" s="126"/>
    </row>
    <row r="1131" spans="2:23" ht="18.75" customHeight="1">
      <c r="F1131" s="39"/>
      <c r="G1131" s="40"/>
    </row>
    <row r="1132" spans="2:23" ht="18.75" customHeight="1">
      <c r="C1132" s="119" t="s">
        <v>3188</v>
      </c>
      <c r="D1132" s="120"/>
      <c r="E1132" s="125" t="str">
        <f>エンティティ一覧!$O$2</f>
        <v>milscm_2023_007</v>
      </c>
      <c r="G1132" s="41"/>
    </row>
    <row r="1133" spans="2:23" ht="18.75" customHeight="1">
      <c r="C1133" s="121"/>
      <c r="D1133" s="122"/>
      <c r="E1133" s="126"/>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27" t="str">
        <f>R1141&amp;"登録"</f>
        <v>バックアップ_DPC調査データ_様式1_診断情報_続発症登録</v>
      </c>
      <c r="D1138" s="128"/>
      <c r="E1138" s="128"/>
      <c r="F1138" s="128"/>
      <c r="G1138" s="128"/>
      <c r="H1138" s="128"/>
      <c r="I1138" s="128"/>
      <c r="J1138" s="128"/>
      <c r="K1138" s="128"/>
      <c r="L1138" s="128"/>
      <c r="M1138" s="128"/>
      <c r="N1138" s="128"/>
      <c r="O1138" s="128"/>
      <c r="P1138" s="128"/>
      <c r="Q1138" s="128"/>
      <c r="R1138" s="128"/>
      <c r="S1138" s="128"/>
      <c r="T1138" s="128"/>
      <c r="U1138" s="129"/>
      <c r="W1138" s="35" t="str">
        <f>"-- "&amp;C1138</f>
        <v>-- バックアップ_DPC調査データ_様式1_診断情報_続発症登録</v>
      </c>
    </row>
    <row r="1139" spans="2:23" ht="18.75" customHeight="1">
      <c r="B1139" s="43" t="s">
        <v>159</v>
      </c>
      <c r="C1139" s="116"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17"/>
      <c r="E1139" s="117"/>
      <c r="F1139" s="117"/>
      <c r="G1139" s="117"/>
      <c r="H1139" s="117"/>
      <c r="I1139" s="117"/>
      <c r="J1139" s="117"/>
      <c r="K1139" s="117"/>
      <c r="L1139" s="117"/>
      <c r="M1139" s="117"/>
      <c r="N1139" s="117"/>
      <c r="O1139" s="117"/>
      <c r="P1139" s="117"/>
      <c r="Q1139" s="117"/>
      <c r="R1139" s="117"/>
      <c r="S1139" s="117"/>
      <c r="T1139" s="117"/>
      <c r="U1139" s="118"/>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19" t="s">
        <v>172</v>
      </c>
      <c r="D1141" s="120"/>
      <c r="E1141" s="123" t="s">
        <v>162</v>
      </c>
      <c r="H1141" s="36"/>
      <c r="I1141" s="36"/>
      <c r="J1141" s="36"/>
      <c r="K1141" s="36"/>
      <c r="L1141" s="36"/>
      <c r="M1141" s="36"/>
      <c r="N1141" s="36"/>
      <c r="O1141" s="36"/>
      <c r="P1141" s="36"/>
      <c r="Q1141" s="36"/>
      <c r="R1141" s="119" t="str">
        <f>"バックアップ_"&amp;SUBSTITUTE(C1141,"_結合","")</f>
        <v>バックアップ_DPC調査データ_様式1_診断情報_続発症</v>
      </c>
      <c r="S1141" s="120"/>
      <c r="T1141" s="125" t="str">
        <f>エンティティ一覧!$O$2</f>
        <v>milscm_2023_007</v>
      </c>
    </row>
    <row r="1142" spans="2:23" ht="18.75" customHeight="1">
      <c r="C1142" s="121"/>
      <c r="D1142" s="122"/>
      <c r="E1142" s="124"/>
      <c r="F1142" s="37"/>
      <c r="G1142" s="38"/>
      <c r="H1142" s="37"/>
      <c r="I1142" s="37"/>
      <c r="J1142" s="37"/>
      <c r="K1142" s="37"/>
      <c r="L1142" s="37"/>
      <c r="M1142" s="37"/>
      <c r="N1142" s="37"/>
      <c r="O1142" s="37"/>
      <c r="P1142" s="37"/>
      <c r="Q1142" s="37"/>
      <c r="R1142" s="121"/>
      <c r="S1142" s="122"/>
      <c r="T1142" s="126"/>
    </row>
    <row r="1143" spans="2:23" ht="18.75" customHeight="1">
      <c r="F1143" s="39"/>
      <c r="G1143" s="40"/>
    </row>
    <row r="1144" spans="2:23" ht="18.75" customHeight="1">
      <c r="C1144" s="119" t="s">
        <v>3188</v>
      </c>
      <c r="D1144" s="120"/>
      <c r="E1144" s="125" t="str">
        <f>エンティティ一覧!$O$2</f>
        <v>milscm_2023_007</v>
      </c>
      <c r="G1144" s="41"/>
    </row>
    <row r="1145" spans="2:23" ht="18.75" customHeight="1">
      <c r="C1145" s="121"/>
      <c r="D1145" s="122"/>
      <c r="E1145" s="126"/>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27" t="str">
        <f>R1153&amp;"登録"</f>
        <v>バックアップ_医科レセプト_医療機関情報レコード登録</v>
      </c>
      <c r="D1150" s="128"/>
      <c r="E1150" s="128"/>
      <c r="F1150" s="128"/>
      <c r="G1150" s="128"/>
      <c r="H1150" s="128"/>
      <c r="I1150" s="128"/>
      <c r="J1150" s="128"/>
      <c r="K1150" s="128"/>
      <c r="L1150" s="128"/>
      <c r="M1150" s="128"/>
      <c r="N1150" s="128"/>
      <c r="O1150" s="128"/>
      <c r="P1150" s="128"/>
      <c r="Q1150" s="128"/>
      <c r="R1150" s="128"/>
      <c r="S1150" s="128"/>
      <c r="T1150" s="128"/>
      <c r="U1150" s="129"/>
      <c r="W1150" s="35" t="str">
        <f>"-- "&amp;C1150</f>
        <v>-- バックアップ_医科レセプト_医療機関情報レコード登録</v>
      </c>
    </row>
    <row r="1151" spans="2:23" ht="18.75" customHeight="1">
      <c r="B1151" s="43" t="s">
        <v>159</v>
      </c>
      <c r="C1151" s="116"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17"/>
      <c r="E1151" s="117"/>
      <c r="F1151" s="117"/>
      <c r="G1151" s="117"/>
      <c r="H1151" s="117"/>
      <c r="I1151" s="117"/>
      <c r="J1151" s="117"/>
      <c r="K1151" s="117"/>
      <c r="L1151" s="117"/>
      <c r="M1151" s="117"/>
      <c r="N1151" s="117"/>
      <c r="O1151" s="117"/>
      <c r="P1151" s="117"/>
      <c r="Q1151" s="117"/>
      <c r="R1151" s="117"/>
      <c r="S1151" s="117"/>
      <c r="T1151" s="117"/>
      <c r="U1151" s="118"/>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19" t="s">
        <v>3410</v>
      </c>
      <c r="D1153" s="120"/>
      <c r="E1153" s="123" t="s">
        <v>162</v>
      </c>
      <c r="H1153" s="36"/>
      <c r="I1153" s="36"/>
      <c r="J1153" s="36"/>
      <c r="K1153" s="36"/>
      <c r="L1153" s="36"/>
      <c r="M1153" s="36"/>
      <c r="N1153" s="36"/>
      <c r="O1153" s="36"/>
      <c r="P1153" s="36"/>
      <c r="Q1153" s="36"/>
      <c r="R1153" s="119" t="str">
        <f>"バックアップ_"&amp;SUBSTITUTE(C1153,"_結合","")</f>
        <v>バックアップ_医科レセプト_医療機関情報レコード</v>
      </c>
      <c r="S1153" s="120"/>
      <c r="T1153" s="125" t="str">
        <f>エンティティ一覧!$O$2</f>
        <v>milscm_2023_007</v>
      </c>
    </row>
    <row r="1154" spans="2:23" ht="18.75" customHeight="1">
      <c r="C1154" s="121"/>
      <c r="D1154" s="122"/>
      <c r="E1154" s="124"/>
      <c r="F1154" s="37"/>
      <c r="G1154" s="38"/>
      <c r="H1154" s="37"/>
      <c r="I1154" s="37"/>
      <c r="J1154" s="37"/>
      <c r="K1154" s="37"/>
      <c r="L1154" s="37"/>
      <c r="M1154" s="37"/>
      <c r="N1154" s="37"/>
      <c r="O1154" s="37"/>
      <c r="P1154" s="37"/>
      <c r="Q1154" s="37"/>
      <c r="R1154" s="121"/>
      <c r="S1154" s="122"/>
      <c r="T1154" s="126"/>
    </row>
    <row r="1155" spans="2:23" ht="18.75" customHeight="1">
      <c r="F1155" s="39"/>
      <c r="G1155" s="40"/>
    </row>
    <row r="1156" spans="2:23" ht="18.75" customHeight="1">
      <c r="C1156" s="119" t="s">
        <v>3188</v>
      </c>
      <c r="D1156" s="120"/>
      <c r="E1156" s="125" t="str">
        <f>エンティティ一覧!$O$2</f>
        <v>milscm_2023_007</v>
      </c>
      <c r="G1156" s="41"/>
    </row>
    <row r="1157" spans="2:23" ht="18.75" customHeight="1">
      <c r="C1157" s="121"/>
      <c r="D1157" s="122"/>
      <c r="E1157" s="126"/>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27" t="str">
        <f>R1165&amp;"登録"</f>
        <v>バックアップ_医科レセプト_レセプト共通レコード登録</v>
      </c>
      <c r="D1162" s="128"/>
      <c r="E1162" s="128"/>
      <c r="F1162" s="128"/>
      <c r="G1162" s="128"/>
      <c r="H1162" s="128"/>
      <c r="I1162" s="128"/>
      <c r="J1162" s="128"/>
      <c r="K1162" s="128"/>
      <c r="L1162" s="128"/>
      <c r="M1162" s="128"/>
      <c r="N1162" s="128"/>
      <c r="O1162" s="128"/>
      <c r="P1162" s="128"/>
      <c r="Q1162" s="128"/>
      <c r="R1162" s="128"/>
      <c r="S1162" s="128"/>
      <c r="T1162" s="128"/>
      <c r="U1162" s="129"/>
      <c r="W1162" s="35" t="str">
        <f>"-- "&amp;C1162</f>
        <v>-- バックアップ_医科レセプト_レセプト共通レコード登録</v>
      </c>
    </row>
    <row r="1163" spans="2:23" ht="18.75" customHeight="1">
      <c r="B1163" s="43" t="s">
        <v>159</v>
      </c>
      <c r="C1163" s="116"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17"/>
      <c r="E1163" s="117"/>
      <c r="F1163" s="117"/>
      <c r="G1163" s="117"/>
      <c r="H1163" s="117"/>
      <c r="I1163" s="117"/>
      <c r="J1163" s="117"/>
      <c r="K1163" s="117"/>
      <c r="L1163" s="117"/>
      <c r="M1163" s="117"/>
      <c r="N1163" s="117"/>
      <c r="O1163" s="117"/>
      <c r="P1163" s="117"/>
      <c r="Q1163" s="117"/>
      <c r="R1163" s="117"/>
      <c r="S1163" s="117"/>
      <c r="T1163" s="117"/>
      <c r="U1163" s="118"/>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19" t="s">
        <v>3412</v>
      </c>
      <c r="D1165" s="120"/>
      <c r="E1165" s="123" t="s">
        <v>162</v>
      </c>
      <c r="H1165" s="36"/>
      <c r="I1165" s="36"/>
      <c r="J1165" s="36"/>
      <c r="K1165" s="36"/>
      <c r="L1165" s="36"/>
      <c r="M1165" s="36"/>
      <c r="N1165" s="36"/>
      <c r="O1165" s="36"/>
      <c r="P1165" s="36"/>
      <c r="Q1165" s="36"/>
      <c r="R1165" s="119" t="str">
        <f>"バックアップ_"&amp;SUBSTITUTE(C1165,"_結合","")</f>
        <v>バックアップ_医科レセプト_レセプト共通レコード</v>
      </c>
      <c r="S1165" s="120"/>
      <c r="T1165" s="125" t="str">
        <f>エンティティ一覧!$O$2</f>
        <v>milscm_2023_007</v>
      </c>
    </row>
    <row r="1166" spans="2:23" ht="18.75" customHeight="1">
      <c r="C1166" s="121"/>
      <c r="D1166" s="122"/>
      <c r="E1166" s="124"/>
      <c r="F1166" s="37"/>
      <c r="G1166" s="38"/>
      <c r="H1166" s="37"/>
      <c r="I1166" s="37"/>
      <c r="J1166" s="37"/>
      <c r="K1166" s="37"/>
      <c r="L1166" s="37"/>
      <c r="M1166" s="37"/>
      <c r="N1166" s="37"/>
      <c r="O1166" s="37"/>
      <c r="P1166" s="37"/>
      <c r="Q1166" s="37"/>
      <c r="R1166" s="121"/>
      <c r="S1166" s="122"/>
      <c r="T1166" s="126"/>
    </row>
    <row r="1167" spans="2:23" ht="18.75" customHeight="1">
      <c r="F1167" s="39"/>
      <c r="G1167" s="40"/>
    </row>
    <row r="1168" spans="2:23" ht="18.75" customHeight="1">
      <c r="C1168" s="119" t="s">
        <v>3188</v>
      </c>
      <c r="D1168" s="120"/>
      <c r="E1168" s="125" t="str">
        <f>エンティティ一覧!$O$2</f>
        <v>milscm_2023_007</v>
      </c>
      <c r="G1168" s="41"/>
    </row>
    <row r="1169" spans="2:23" ht="18.75" customHeight="1">
      <c r="C1169" s="121"/>
      <c r="D1169" s="122"/>
      <c r="E1169" s="126"/>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27" t="str">
        <f>R1177&amp;"登録"</f>
        <v>バックアップ_医科レセプト_傷病名レコード登録</v>
      </c>
      <c r="D1174" s="128"/>
      <c r="E1174" s="128"/>
      <c r="F1174" s="128"/>
      <c r="G1174" s="128"/>
      <c r="H1174" s="128"/>
      <c r="I1174" s="128"/>
      <c r="J1174" s="128"/>
      <c r="K1174" s="128"/>
      <c r="L1174" s="128"/>
      <c r="M1174" s="128"/>
      <c r="N1174" s="128"/>
      <c r="O1174" s="128"/>
      <c r="P1174" s="128"/>
      <c r="Q1174" s="128"/>
      <c r="R1174" s="128"/>
      <c r="S1174" s="128"/>
      <c r="T1174" s="128"/>
      <c r="U1174" s="129"/>
      <c r="W1174" s="35" t="str">
        <f>"-- "&amp;C1174</f>
        <v>-- バックアップ_医科レセプト_傷病名レコード登録</v>
      </c>
    </row>
    <row r="1175" spans="2:23" ht="18.75" customHeight="1">
      <c r="B1175" s="43" t="s">
        <v>159</v>
      </c>
      <c r="C1175" s="116"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17"/>
      <c r="E1175" s="117"/>
      <c r="F1175" s="117"/>
      <c r="G1175" s="117"/>
      <c r="H1175" s="117"/>
      <c r="I1175" s="117"/>
      <c r="J1175" s="117"/>
      <c r="K1175" s="117"/>
      <c r="L1175" s="117"/>
      <c r="M1175" s="117"/>
      <c r="N1175" s="117"/>
      <c r="O1175" s="117"/>
      <c r="P1175" s="117"/>
      <c r="Q1175" s="117"/>
      <c r="R1175" s="117"/>
      <c r="S1175" s="117"/>
      <c r="T1175" s="117"/>
      <c r="U1175" s="118"/>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19" t="s">
        <v>3414</v>
      </c>
      <c r="D1177" s="120"/>
      <c r="E1177" s="123" t="s">
        <v>162</v>
      </c>
      <c r="H1177" s="36"/>
      <c r="I1177" s="36"/>
      <c r="J1177" s="36"/>
      <c r="K1177" s="36"/>
      <c r="L1177" s="36"/>
      <c r="M1177" s="36"/>
      <c r="N1177" s="36"/>
      <c r="O1177" s="36"/>
      <c r="P1177" s="36"/>
      <c r="Q1177" s="36"/>
      <c r="R1177" s="119" t="str">
        <f>"バックアップ_"&amp;SUBSTITUTE(C1177,"_結合","")</f>
        <v>バックアップ_医科レセプト_傷病名レコード</v>
      </c>
      <c r="S1177" s="120"/>
      <c r="T1177" s="125" t="str">
        <f>エンティティ一覧!$O$2</f>
        <v>milscm_2023_007</v>
      </c>
    </row>
    <row r="1178" spans="2:23" ht="18.75" customHeight="1">
      <c r="C1178" s="121"/>
      <c r="D1178" s="122"/>
      <c r="E1178" s="124"/>
      <c r="F1178" s="37"/>
      <c r="G1178" s="38"/>
      <c r="H1178" s="37"/>
      <c r="I1178" s="37"/>
      <c r="J1178" s="37"/>
      <c r="K1178" s="37"/>
      <c r="L1178" s="37"/>
      <c r="M1178" s="37"/>
      <c r="N1178" s="37"/>
      <c r="O1178" s="37"/>
      <c r="P1178" s="37"/>
      <c r="Q1178" s="37"/>
      <c r="R1178" s="121"/>
      <c r="S1178" s="122"/>
      <c r="T1178" s="126"/>
    </row>
    <row r="1179" spans="2:23" ht="18.75" customHeight="1">
      <c r="F1179" s="39"/>
      <c r="G1179" s="40"/>
    </row>
    <row r="1180" spans="2:23" ht="18.75" customHeight="1">
      <c r="C1180" s="119" t="s">
        <v>3188</v>
      </c>
      <c r="D1180" s="120"/>
      <c r="E1180" s="125" t="str">
        <f>エンティティ一覧!$O$2</f>
        <v>milscm_2023_007</v>
      </c>
      <c r="G1180" s="41"/>
    </row>
    <row r="1181" spans="2:23" ht="18.75" customHeight="1">
      <c r="C1181" s="121"/>
      <c r="D1181" s="122"/>
      <c r="E1181" s="126"/>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27" t="str">
        <f>R1189&amp;"登録"</f>
        <v>バックアップ_医科レセプト_診療行為レコード登録</v>
      </c>
      <c r="D1186" s="128"/>
      <c r="E1186" s="128"/>
      <c r="F1186" s="128"/>
      <c r="G1186" s="128"/>
      <c r="H1186" s="128"/>
      <c r="I1186" s="128"/>
      <c r="J1186" s="128"/>
      <c r="K1186" s="128"/>
      <c r="L1186" s="128"/>
      <c r="M1186" s="128"/>
      <c r="N1186" s="128"/>
      <c r="O1186" s="128"/>
      <c r="P1186" s="128"/>
      <c r="Q1186" s="128"/>
      <c r="R1186" s="128"/>
      <c r="S1186" s="128"/>
      <c r="T1186" s="128"/>
      <c r="U1186" s="129"/>
      <c r="W1186" s="35" t="str">
        <f>"-- "&amp;C1186</f>
        <v>-- バックアップ_医科レセプト_診療行為レコード登録</v>
      </c>
    </row>
    <row r="1187" spans="2:23" ht="18.75" customHeight="1">
      <c r="B1187" s="43" t="s">
        <v>159</v>
      </c>
      <c r="C1187" s="116"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17"/>
      <c r="E1187" s="117"/>
      <c r="F1187" s="117"/>
      <c r="G1187" s="117"/>
      <c r="H1187" s="117"/>
      <c r="I1187" s="117"/>
      <c r="J1187" s="117"/>
      <c r="K1187" s="117"/>
      <c r="L1187" s="117"/>
      <c r="M1187" s="117"/>
      <c r="N1187" s="117"/>
      <c r="O1187" s="117"/>
      <c r="P1187" s="117"/>
      <c r="Q1187" s="117"/>
      <c r="R1187" s="117"/>
      <c r="S1187" s="117"/>
      <c r="T1187" s="117"/>
      <c r="U1187" s="118"/>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19" t="s">
        <v>3416</v>
      </c>
      <c r="D1189" s="120"/>
      <c r="E1189" s="123" t="s">
        <v>162</v>
      </c>
      <c r="H1189" s="36"/>
      <c r="I1189" s="36"/>
      <c r="J1189" s="36"/>
      <c r="K1189" s="36"/>
      <c r="L1189" s="36"/>
      <c r="M1189" s="36"/>
      <c r="N1189" s="36"/>
      <c r="O1189" s="36"/>
      <c r="P1189" s="36"/>
      <c r="Q1189" s="36"/>
      <c r="R1189" s="119" t="str">
        <f>"バックアップ_"&amp;SUBSTITUTE(C1189,"_結合","")</f>
        <v>バックアップ_医科レセプト_診療行為レコード</v>
      </c>
      <c r="S1189" s="120"/>
      <c r="T1189" s="125" t="str">
        <f>エンティティ一覧!$O$2</f>
        <v>milscm_2023_007</v>
      </c>
    </row>
    <row r="1190" spans="2:23" ht="18.75" customHeight="1">
      <c r="C1190" s="121"/>
      <c r="D1190" s="122"/>
      <c r="E1190" s="124"/>
      <c r="F1190" s="37"/>
      <c r="G1190" s="38"/>
      <c r="H1190" s="37"/>
      <c r="I1190" s="37"/>
      <c r="J1190" s="37"/>
      <c r="K1190" s="37"/>
      <c r="L1190" s="37"/>
      <c r="M1190" s="37"/>
      <c r="N1190" s="37"/>
      <c r="O1190" s="37"/>
      <c r="P1190" s="37"/>
      <c r="Q1190" s="37"/>
      <c r="R1190" s="121"/>
      <c r="S1190" s="122"/>
      <c r="T1190" s="126"/>
    </row>
    <row r="1191" spans="2:23" ht="18.75" customHeight="1">
      <c r="F1191" s="39"/>
      <c r="G1191" s="40"/>
    </row>
    <row r="1192" spans="2:23" ht="18.75" customHeight="1">
      <c r="C1192" s="119" t="s">
        <v>3188</v>
      </c>
      <c r="D1192" s="120"/>
      <c r="E1192" s="125" t="str">
        <f>エンティティ一覧!$O$2</f>
        <v>milscm_2023_007</v>
      </c>
      <c r="G1192" s="41"/>
    </row>
    <row r="1193" spans="2:23" ht="18.75" customHeight="1">
      <c r="C1193" s="121"/>
      <c r="D1193" s="122"/>
      <c r="E1193" s="126"/>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27" t="str">
        <f>R1201&amp;"登録"</f>
        <v>バックアップ_医科レセプト_診療行為レコード_算定日情報登録</v>
      </c>
      <c r="D1198" s="128"/>
      <c r="E1198" s="128"/>
      <c r="F1198" s="128"/>
      <c r="G1198" s="128"/>
      <c r="H1198" s="128"/>
      <c r="I1198" s="128"/>
      <c r="J1198" s="128"/>
      <c r="K1198" s="128"/>
      <c r="L1198" s="128"/>
      <c r="M1198" s="128"/>
      <c r="N1198" s="128"/>
      <c r="O1198" s="128"/>
      <c r="P1198" s="128"/>
      <c r="Q1198" s="128"/>
      <c r="R1198" s="128"/>
      <c r="S1198" s="128"/>
      <c r="T1198" s="128"/>
      <c r="U1198" s="129"/>
      <c r="W1198" s="35" t="str">
        <f>"-- "&amp;C1198</f>
        <v>-- バックアップ_医科レセプト_診療行為レコード_算定日情報登録</v>
      </c>
    </row>
    <row r="1199" spans="2:23" ht="18.75" customHeight="1">
      <c r="B1199" s="43" t="s">
        <v>159</v>
      </c>
      <c r="C1199" s="116"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17"/>
      <c r="E1199" s="117"/>
      <c r="F1199" s="117"/>
      <c r="G1199" s="117"/>
      <c r="H1199" s="117"/>
      <c r="I1199" s="117"/>
      <c r="J1199" s="117"/>
      <c r="K1199" s="117"/>
      <c r="L1199" s="117"/>
      <c r="M1199" s="117"/>
      <c r="N1199" s="117"/>
      <c r="O1199" s="117"/>
      <c r="P1199" s="117"/>
      <c r="Q1199" s="117"/>
      <c r="R1199" s="117"/>
      <c r="S1199" s="117"/>
      <c r="T1199" s="117"/>
      <c r="U1199" s="118"/>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19" t="s">
        <v>3418</v>
      </c>
      <c r="D1201" s="120"/>
      <c r="E1201" s="123" t="s">
        <v>162</v>
      </c>
      <c r="H1201" s="36"/>
      <c r="I1201" s="36"/>
      <c r="J1201" s="36"/>
      <c r="K1201" s="36"/>
      <c r="L1201" s="36"/>
      <c r="M1201" s="36"/>
      <c r="N1201" s="36"/>
      <c r="O1201" s="36"/>
      <c r="P1201" s="36"/>
      <c r="Q1201" s="36"/>
      <c r="R1201" s="130" t="str">
        <f>"バックアップ_"&amp;SUBSTITUTE(C1201,"_結合","")</f>
        <v>バックアップ_医科レセプト_診療行為レコード_算定日情報</v>
      </c>
      <c r="S1201" s="131"/>
      <c r="T1201" s="125" t="str">
        <f>エンティティ一覧!$O$2</f>
        <v>milscm_2023_007</v>
      </c>
    </row>
    <row r="1202" spans="2:23" ht="18.75" customHeight="1">
      <c r="C1202" s="121"/>
      <c r="D1202" s="122"/>
      <c r="E1202" s="124"/>
      <c r="F1202" s="37"/>
      <c r="G1202" s="38"/>
      <c r="H1202" s="37"/>
      <c r="I1202" s="37"/>
      <c r="J1202" s="37"/>
      <c r="K1202" s="37"/>
      <c r="L1202" s="37"/>
      <c r="M1202" s="37"/>
      <c r="N1202" s="37"/>
      <c r="O1202" s="37"/>
      <c r="P1202" s="37"/>
      <c r="Q1202" s="37"/>
      <c r="R1202" s="132"/>
      <c r="S1202" s="133"/>
      <c r="T1202" s="126"/>
    </row>
    <row r="1203" spans="2:23" ht="18.75" customHeight="1">
      <c r="F1203" s="39"/>
      <c r="G1203" s="40"/>
    </row>
    <row r="1204" spans="2:23" ht="18.75" customHeight="1">
      <c r="C1204" s="119" t="s">
        <v>3188</v>
      </c>
      <c r="D1204" s="120"/>
      <c r="E1204" s="125" t="str">
        <f>エンティティ一覧!$O$2</f>
        <v>milscm_2023_007</v>
      </c>
      <c r="G1204" s="41"/>
    </row>
    <row r="1205" spans="2:23" ht="18.75" customHeight="1">
      <c r="C1205" s="121"/>
      <c r="D1205" s="122"/>
      <c r="E1205" s="126"/>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27" t="str">
        <f>R1213&amp;"登録"</f>
        <v>バックアップ_医科レセプト_医薬品レコード登録</v>
      </c>
      <c r="D1210" s="128"/>
      <c r="E1210" s="128"/>
      <c r="F1210" s="128"/>
      <c r="G1210" s="128"/>
      <c r="H1210" s="128"/>
      <c r="I1210" s="128"/>
      <c r="J1210" s="128"/>
      <c r="K1210" s="128"/>
      <c r="L1210" s="128"/>
      <c r="M1210" s="128"/>
      <c r="N1210" s="128"/>
      <c r="O1210" s="128"/>
      <c r="P1210" s="128"/>
      <c r="Q1210" s="128"/>
      <c r="R1210" s="128"/>
      <c r="S1210" s="128"/>
      <c r="T1210" s="128"/>
      <c r="U1210" s="129"/>
      <c r="W1210" s="35" t="str">
        <f>"-- "&amp;C1210</f>
        <v>-- バックアップ_医科レセプト_医薬品レコード登録</v>
      </c>
    </row>
    <row r="1211" spans="2:23" ht="18.75" customHeight="1">
      <c r="B1211" s="43" t="s">
        <v>159</v>
      </c>
      <c r="C1211" s="116"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17"/>
      <c r="E1211" s="117"/>
      <c r="F1211" s="117"/>
      <c r="G1211" s="117"/>
      <c r="H1211" s="117"/>
      <c r="I1211" s="117"/>
      <c r="J1211" s="117"/>
      <c r="K1211" s="117"/>
      <c r="L1211" s="117"/>
      <c r="M1211" s="117"/>
      <c r="N1211" s="117"/>
      <c r="O1211" s="117"/>
      <c r="P1211" s="117"/>
      <c r="Q1211" s="117"/>
      <c r="R1211" s="117"/>
      <c r="S1211" s="117"/>
      <c r="T1211" s="117"/>
      <c r="U1211" s="118"/>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19" t="s">
        <v>3420</v>
      </c>
      <c r="D1213" s="120"/>
      <c r="E1213" s="123" t="s">
        <v>162</v>
      </c>
      <c r="H1213" s="36"/>
      <c r="I1213" s="36"/>
      <c r="J1213" s="36"/>
      <c r="K1213" s="36"/>
      <c r="L1213" s="36"/>
      <c r="M1213" s="36"/>
      <c r="N1213" s="36"/>
      <c r="O1213" s="36"/>
      <c r="P1213" s="36"/>
      <c r="Q1213" s="36"/>
      <c r="R1213" s="119" t="str">
        <f>"バックアップ_"&amp;SUBSTITUTE(C1213,"_結合","")</f>
        <v>バックアップ_医科レセプト_医薬品レコード</v>
      </c>
      <c r="S1213" s="120"/>
      <c r="T1213" s="125" t="str">
        <f>エンティティ一覧!$O$2</f>
        <v>milscm_2023_007</v>
      </c>
    </row>
    <row r="1214" spans="2:23" ht="18.75" customHeight="1">
      <c r="C1214" s="121"/>
      <c r="D1214" s="122"/>
      <c r="E1214" s="124"/>
      <c r="F1214" s="37"/>
      <c r="G1214" s="38"/>
      <c r="H1214" s="37"/>
      <c r="I1214" s="37"/>
      <c r="J1214" s="37"/>
      <c r="K1214" s="37"/>
      <c r="L1214" s="37"/>
      <c r="M1214" s="37"/>
      <c r="N1214" s="37"/>
      <c r="O1214" s="37"/>
      <c r="P1214" s="37"/>
      <c r="Q1214" s="37"/>
      <c r="R1214" s="121"/>
      <c r="S1214" s="122"/>
      <c r="T1214" s="126"/>
    </row>
    <row r="1215" spans="2:23" ht="18.75" customHeight="1">
      <c r="F1215" s="39"/>
      <c r="G1215" s="40"/>
    </row>
    <row r="1216" spans="2:23" ht="18.75" customHeight="1">
      <c r="C1216" s="119" t="s">
        <v>3188</v>
      </c>
      <c r="D1216" s="120"/>
      <c r="E1216" s="125" t="str">
        <f>エンティティ一覧!$O$2</f>
        <v>milscm_2023_007</v>
      </c>
      <c r="G1216" s="41"/>
    </row>
    <row r="1217" spans="2:23" ht="18.75" customHeight="1">
      <c r="C1217" s="121"/>
      <c r="D1217" s="122"/>
      <c r="E1217" s="126"/>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27" t="str">
        <f>R1225&amp;"登録"</f>
        <v>バックアップ_医科レセプト_医薬品レコード_算定日情報登録</v>
      </c>
      <c r="D1222" s="128"/>
      <c r="E1222" s="128"/>
      <c r="F1222" s="128"/>
      <c r="G1222" s="128"/>
      <c r="H1222" s="128"/>
      <c r="I1222" s="128"/>
      <c r="J1222" s="128"/>
      <c r="K1222" s="128"/>
      <c r="L1222" s="128"/>
      <c r="M1222" s="128"/>
      <c r="N1222" s="128"/>
      <c r="O1222" s="128"/>
      <c r="P1222" s="128"/>
      <c r="Q1222" s="128"/>
      <c r="R1222" s="128"/>
      <c r="S1222" s="128"/>
      <c r="T1222" s="128"/>
      <c r="U1222" s="129"/>
      <c r="W1222" s="35" t="str">
        <f>"-- "&amp;C1222</f>
        <v>-- バックアップ_医科レセプト_医薬品レコード_算定日情報登録</v>
      </c>
    </row>
    <row r="1223" spans="2:23" ht="18.75" customHeight="1">
      <c r="B1223" s="43" t="s">
        <v>159</v>
      </c>
      <c r="C1223" s="116"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17"/>
      <c r="E1223" s="117"/>
      <c r="F1223" s="117"/>
      <c r="G1223" s="117"/>
      <c r="H1223" s="117"/>
      <c r="I1223" s="117"/>
      <c r="J1223" s="117"/>
      <c r="K1223" s="117"/>
      <c r="L1223" s="117"/>
      <c r="M1223" s="117"/>
      <c r="N1223" s="117"/>
      <c r="O1223" s="117"/>
      <c r="P1223" s="117"/>
      <c r="Q1223" s="117"/>
      <c r="R1223" s="117"/>
      <c r="S1223" s="117"/>
      <c r="T1223" s="117"/>
      <c r="U1223" s="118"/>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19" t="s">
        <v>3422</v>
      </c>
      <c r="D1225" s="120"/>
      <c r="E1225" s="123" t="s">
        <v>162</v>
      </c>
      <c r="H1225" s="36"/>
      <c r="I1225" s="36"/>
      <c r="J1225" s="36"/>
      <c r="K1225" s="36"/>
      <c r="L1225" s="36"/>
      <c r="M1225" s="36"/>
      <c r="N1225" s="36"/>
      <c r="O1225" s="36"/>
      <c r="P1225" s="36"/>
      <c r="Q1225" s="36"/>
      <c r="R1225" s="130" t="str">
        <f>"バックアップ_"&amp;SUBSTITUTE(C1225,"_結合","")</f>
        <v>バックアップ_医科レセプト_医薬品レコード_算定日情報</v>
      </c>
      <c r="S1225" s="131"/>
      <c r="T1225" s="125" t="str">
        <f>エンティティ一覧!$O$2</f>
        <v>milscm_2023_007</v>
      </c>
    </row>
    <row r="1226" spans="2:23" ht="18.75" customHeight="1">
      <c r="C1226" s="121"/>
      <c r="D1226" s="122"/>
      <c r="E1226" s="124"/>
      <c r="F1226" s="37"/>
      <c r="G1226" s="38"/>
      <c r="H1226" s="37"/>
      <c r="I1226" s="37"/>
      <c r="J1226" s="37"/>
      <c r="K1226" s="37"/>
      <c r="L1226" s="37"/>
      <c r="M1226" s="37"/>
      <c r="N1226" s="37"/>
      <c r="O1226" s="37"/>
      <c r="P1226" s="37"/>
      <c r="Q1226" s="37"/>
      <c r="R1226" s="132"/>
      <c r="S1226" s="133"/>
      <c r="T1226" s="126"/>
    </row>
    <row r="1227" spans="2:23" ht="18.75" customHeight="1">
      <c r="F1227" s="39"/>
      <c r="G1227" s="40"/>
    </row>
    <row r="1228" spans="2:23" ht="18.75" customHeight="1">
      <c r="C1228" s="119" t="s">
        <v>3188</v>
      </c>
      <c r="D1228" s="120"/>
      <c r="E1228" s="125" t="str">
        <f>エンティティ一覧!$O$2</f>
        <v>milscm_2023_007</v>
      </c>
      <c r="G1228" s="41"/>
    </row>
    <row r="1229" spans="2:23" ht="18.75" customHeight="1">
      <c r="C1229" s="121"/>
      <c r="D1229" s="122"/>
      <c r="E1229" s="126"/>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27" t="str">
        <f>R1237&amp;"登録"</f>
        <v>バックアップ_医科レセプト_臓器提供者レセプト情報レコード登録</v>
      </c>
      <c r="D1234" s="128"/>
      <c r="E1234" s="128"/>
      <c r="F1234" s="128"/>
      <c r="G1234" s="128"/>
      <c r="H1234" s="128"/>
      <c r="I1234" s="128"/>
      <c r="J1234" s="128"/>
      <c r="K1234" s="128"/>
      <c r="L1234" s="128"/>
      <c r="M1234" s="128"/>
      <c r="N1234" s="128"/>
      <c r="O1234" s="128"/>
      <c r="P1234" s="128"/>
      <c r="Q1234" s="128"/>
      <c r="R1234" s="128"/>
      <c r="S1234" s="128"/>
      <c r="T1234" s="128"/>
      <c r="U1234" s="129"/>
      <c r="W1234" s="35" t="str">
        <f>"-- "&amp;C1234</f>
        <v>-- バックアップ_医科レセプト_臓器提供者レセプト情報レコード登録</v>
      </c>
    </row>
    <row r="1235" spans="2:23" ht="18.75" customHeight="1">
      <c r="B1235" s="43" t="s">
        <v>159</v>
      </c>
      <c r="C1235" s="116"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17"/>
      <c r="E1235" s="117"/>
      <c r="F1235" s="117"/>
      <c r="G1235" s="117"/>
      <c r="H1235" s="117"/>
      <c r="I1235" s="117"/>
      <c r="J1235" s="117"/>
      <c r="K1235" s="117"/>
      <c r="L1235" s="117"/>
      <c r="M1235" s="117"/>
      <c r="N1235" s="117"/>
      <c r="O1235" s="117"/>
      <c r="P1235" s="117"/>
      <c r="Q1235" s="117"/>
      <c r="R1235" s="117"/>
      <c r="S1235" s="117"/>
      <c r="T1235" s="117"/>
      <c r="U1235" s="118"/>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19" t="s">
        <v>3424</v>
      </c>
      <c r="D1237" s="120"/>
      <c r="E1237" s="123" t="s">
        <v>162</v>
      </c>
      <c r="H1237" s="36"/>
      <c r="I1237" s="36"/>
      <c r="J1237" s="36"/>
      <c r="K1237" s="36"/>
      <c r="L1237" s="36"/>
      <c r="M1237" s="36"/>
      <c r="N1237" s="36"/>
      <c r="O1237" s="36"/>
      <c r="P1237" s="36"/>
      <c r="Q1237" s="36"/>
      <c r="R1237" s="138" t="str">
        <f>"バックアップ_"&amp;SUBSTITUTE(C1237,"_結合","")</f>
        <v>バックアップ_医科レセプト_臓器提供者レセプト情報レコード</v>
      </c>
      <c r="S1237" s="139"/>
      <c r="T1237" s="125" t="str">
        <f>エンティティ一覧!$O$2</f>
        <v>milscm_2023_007</v>
      </c>
    </row>
    <row r="1238" spans="2:23" ht="18.75" customHeight="1">
      <c r="C1238" s="121"/>
      <c r="D1238" s="122"/>
      <c r="E1238" s="124"/>
      <c r="F1238" s="37"/>
      <c r="G1238" s="38"/>
      <c r="H1238" s="37"/>
      <c r="I1238" s="37"/>
      <c r="J1238" s="37"/>
      <c r="K1238" s="37"/>
      <c r="L1238" s="37"/>
      <c r="M1238" s="37"/>
      <c r="N1238" s="37"/>
      <c r="O1238" s="37"/>
      <c r="P1238" s="37"/>
      <c r="Q1238" s="37"/>
      <c r="R1238" s="140"/>
      <c r="S1238" s="141"/>
      <c r="T1238" s="126"/>
    </row>
    <row r="1239" spans="2:23" ht="18.75" customHeight="1">
      <c r="F1239" s="39"/>
      <c r="G1239" s="40"/>
    </row>
    <row r="1240" spans="2:23" ht="18.75" customHeight="1">
      <c r="C1240" s="119" t="s">
        <v>3188</v>
      </c>
      <c r="D1240" s="120"/>
      <c r="E1240" s="125" t="str">
        <f>エンティティ一覧!$O$2</f>
        <v>milscm_2023_007</v>
      </c>
      <c r="G1240" s="41"/>
    </row>
    <row r="1241" spans="2:23" ht="18.75" customHeight="1">
      <c r="C1241" s="121"/>
      <c r="D1241" s="122"/>
      <c r="E1241" s="126"/>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27" t="str">
        <f>R1249&amp;"登録"</f>
        <v>バックアップ_DPCレセプト_医療機関情報レコード登録</v>
      </c>
      <c r="D1246" s="128"/>
      <c r="E1246" s="128"/>
      <c r="F1246" s="128"/>
      <c r="G1246" s="128"/>
      <c r="H1246" s="128"/>
      <c r="I1246" s="128"/>
      <c r="J1246" s="128"/>
      <c r="K1246" s="128"/>
      <c r="L1246" s="128"/>
      <c r="M1246" s="128"/>
      <c r="N1246" s="128"/>
      <c r="O1246" s="128"/>
      <c r="P1246" s="128"/>
      <c r="Q1246" s="128"/>
      <c r="R1246" s="128"/>
      <c r="S1246" s="128"/>
      <c r="T1246" s="128"/>
      <c r="U1246" s="129"/>
      <c r="W1246" s="35" t="str">
        <f>"-- "&amp;C1246</f>
        <v>-- バックアップ_DPCレセプト_医療機関情報レコード登録</v>
      </c>
    </row>
    <row r="1247" spans="2:23" ht="18.75" customHeight="1">
      <c r="B1247" s="43" t="s">
        <v>159</v>
      </c>
      <c r="C1247" s="116"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17"/>
      <c r="E1247" s="117"/>
      <c r="F1247" s="117"/>
      <c r="G1247" s="117"/>
      <c r="H1247" s="117"/>
      <c r="I1247" s="117"/>
      <c r="J1247" s="117"/>
      <c r="K1247" s="117"/>
      <c r="L1247" s="117"/>
      <c r="M1247" s="117"/>
      <c r="N1247" s="117"/>
      <c r="O1247" s="117"/>
      <c r="P1247" s="117"/>
      <c r="Q1247" s="117"/>
      <c r="R1247" s="117"/>
      <c r="S1247" s="117"/>
      <c r="T1247" s="117"/>
      <c r="U1247" s="118"/>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19" t="s">
        <v>3426</v>
      </c>
      <c r="D1249" s="120"/>
      <c r="E1249" s="123" t="s">
        <v>162</v>
      </c>
      <c r="H1249" s="36"/>
      <c r="I1249" s="36"/>
      <c r="J1249" s="36"/>
      <c r="K1249" s="36"/>
      <c r="L1249" s="36"/>
      <c r="M1249" s="36"/>
      <c r="N1249" s="36"/>
      <c r="O1249" s="36"/>
      <c r="P1249" s="36"/>
      <c r="Q1249" s="36"/>
      <c r="R1249" s="119" t="str">
        <f>"バックアップ_"&amp;SUBSTITUTE(C1249,"_結合","")</f>
        <v>バックアップ_DPCレセプト_医療機関情報レコード</v>
      </c>
      <c r="S1249" s="120"/>
      <c r="T1249" s="125" t="str">
        <f>エンティティ一覧!$O$2</f>
        <v>milscm_2023_007</v>
      </c>
    </row>
    <row r="1250" spans="2:23" ht="18.75" customHeight="1">
      <c r="C1250" s="121"/>
      <c r="D1250" s="122"/>
      <c r="E1250" s="124"/>
      <c r="F1250" s="37"/>
      <c r="G1250" s="38"/>
      <c r="H1250" s="37"/>
      <c r="I1250" s="37"/>
      <c r="J1250" s="37"/>
      <c r="K1250" s="37"/>
      <c r="L1250" s="37"/>
      <c r="M1250" s="37"/>
      <c r="N1250" s="37"/>
      <c r="O1250" s="37"/>
      <c r="P1250" s="37"/>
      <c r="Q1250" s="37"/>
      <c r="R1250" s="121"/>
      <c r="S1250" s="122"/>
      <c r="T1250" s="126"/>
    </row>
    <row r="1251" spans="2:23" ht="18.75" customHeight="1">
      <c r="F1251" s="39"/>
      <c r="G1251" s="40"/>
    </row>
    <row r="1252" spans="2:23" ht="18.75" customHeight="1">
      <c r="C1252" s="119" t="s">
        <v>3188</v>
      </c>
      <c r="D1252" s="120"/>
      <c r="E1252" s="125" t="str">
        <f>エンティティ一覧!$O$2</f>
        <v>milscm_2023_007</v>
      </c>
      <c r="G1252" s="41"/>
    </row>
    <row r="1253" spans="2:23" ht="18.75" customHeight="1">
      <c r="C1253" s="121"/>
      <c r="D1253" s="122"/>
      <c r="E1253" s="126"/>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27" t="str">
        <f>R1261&amp;"登録"</f>
        <v>バックアップ_DPCレセプト_レセプト共通レコード登録</v>
      </c>
      <c r="D1258" s="128"/>
      <c r="E1258" s="128"/>
      <c r="F1258" s="128"/>
      <c r="G1258" s="128"/>
      <c r="H1258" s="128"/>
      <c r="I1258" s="128"/>
      <c r="J1258" s="128"/>
      <c r="K1258" s="128"/>
      <c r="L1258" s="128"/>
      <c r="M1258" s="128"/>
      <c r="N1258" s="128"/>
      <c r="O1258" s="128"/>
      <c r="P1258" s="128"/>
      <c r="Q1258" s="128"/>
      <c r="R1258" s="128"/>
      <c r="S1258" s="128"/>
      <c r="T1258" s="128"/>
      <c r="U1258" s="129"/>
      <c r="W1258" s="35" t="str">
        <f>"-- "&amp;C1258</f>
        <v>-- バックアップ_DPCレセプト_レセプト共通レコード登録</v>
      </c>
    </row>
    <row r="1259" spans="2:23" ht="18.75" customHeight="1">
      <c r="B1259" s="43" t="s">
        <v>159</v>
      </c>
      <c r="C1259" s="116"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17"/>
      <c r="E1259" s="117"/>
      <c r="F1259" s="117"/>
      <c r="G1259" s="117"/>
      <c r="H1259" s="117"/>
      <c r="I1259" s="117"/>
      <c r="J1259" s="117"/>
      <c r="K1259" s="117"/>
      <c r="L1259" s="117"/>
      <c r="M1259" s="117"/>
      <c r="N1259" s="117"/>
      <c r="O1259" s="117"/>
      <c r="P1259" s="117"/>
      <c r="Q1259" s="117"/>
      <c r="R1259" s="117"/>
      <c r="S1259" s="117"/>
      <c r="T1259" s="117"/>
      <c r="U1259" s="118"/>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19" t="s">
        <v>3428</v>
      </c>
      <c r="D1261" s="120"/>
      <c r="E1261" s="123" t="s">
        <v>162</v>
      </c>
      <c r="H1261" s="36"/>
      <c r="I1261" s="36"/>
      <c r="J1261" s="36"/>
      <c r="K1261" s="36"/>
      <c r="L1261" s="36"/>
      <c r="M1261" s="36"/>
      <c r="N1261" s="36"/>
      <c r="O1261" s="36"/>
      <c r="P1261" s="36"/>
      <c r="Q1261" s="36"/>
      <c r="R1261" s="119" t="str">
        <f>"バックアップ_"&amp;SUBSTITUTE(C1261,"_結合","")</f>
        <v>バックアップ_DPCレセプト_レセプト共通レコード</v>
      </c>
      <c r="S1261" s="120"/>
      <c r="T1261" s="125" t="str">
        <f>エンティティ一覧!$O$2</f>
        <v>milscm_2023_007</v>
      </c>
    </row>
    <row r="1262" spans="2:23" ht="18.75" customHeight="1">
      <c r="C1262" s="121"/>
      <c r="D1262" s="122"/>
      <c r="E1262" s="124"/>
      <c r="F1262" s="37"/>
      <c r="G1262" s="38"/>
      <c r="H1262" s="37"/>
      <c r="I1262" s="37"/>
      <c r="J1262" s="37"/>
      <c r="K1262" s="37"/>
      <c r="L1262" s="37"/>
      <c r="M1262" s="37"/>
      <c r="N1262" s="37"/>
      <c r="O1262" s="37"/>
      <c r="P1262" s="37"/>
      <c r="Q1262" s="37"/>
      <c r="R1262" s="121"/>
      <c r="S1262" s="122"/>
      <c r="T1262" s="126"/>
    </row>
    <row r="1263" spans="2:23" ht="18.75" customHeight="1">
      <c r="F1263" s="39"/>
      <c r="G1263" s="40"/>
    </row>
    <row r="1264" spans="2:23" ht="18.75" customHeight="1">
      <c r="C1264" s="119" t="s">
        <v>3188</v>
      </c>
      <c r="D1264" s="120"/>
      <c r="E1264" s="125" t="str">
        <f>エンティティ一覧!$O$2</f>
        <v>milscm_2023_007</v>
      </c>
      <c r="G1264" s="41"/>
    </row>
    <row r="1265" spans="2:23" ht="18.75" customHeight="1">
      <c r="C1265" s="121"/>
      <c r="D1265" s="122"/>
      <c r="E1265" s="126"/>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27" t="str">
        <f>R1273&amp;"登録"</f>
        <v>バックアップ_DPCレセプト_診断群分類レコード登録</v>
      </c>
      <c r="D1270" s="128"/>
      <c r="E1270" s="128"/>
      <c r="F1270" s="128"/>
      <c r="G1270" s="128"/>
      <c r="H1270" s="128"/>
      <c r="I1270" s="128"/>
      <c r="J1270" s="128"/>
      <c r="K1270" s="128"/>
      <c r="L1270" s="128"/>
      <c r="M1270" s="128"/>
      <c r="N1270" s="128"/>
      <c r="O1270" s="128"/>
      <c r="P1270" s="128"/>
      <c r="Q1270" s="128"/>
      <c r="R1270" s="128"/>
      <c r="S1270" s="128"/>
      <c r="T1270" s="128"/>
      <c r="U1270" s="129"/>
      <c r="W1270" s="35" t="str">
        <f>"-- "&amp;C1270</f>
        <v>-- バックアップ_DPCレセプト_診断群分類レコード登録</v>
      </c>
    </row>
    <row r="1271" spans="2:23" ht="18.75" customHeight="1">
      <c r="B1271" s="43" t="s">
        <v>159</v>
      </c>
      <c r="C1271" s="116"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17"/>
      <c r="E1271" s="117"/>
      <c r="F1271" s="117"/>
      <c r="G1271" s="117"/>
      <c r="H1271" s="117"/>
      <c r="I1271" s="117"/>
      <c r="J1271" s="117"/>
      <c r="K1271" s="117"/>
      <c r="L1271" s="117"/>
      <c r="M1271" s="117"/>
      <c r="N1271" s="117"/>
      <c r="O1271" s="117"/>
      <c r="P1271" s="117"/>
      <c r="Q1271" s="117"/>
      <c r="R1271" s="117"/>
      <c r="S1271" s="117"/>
      <c r="T1271" s="117"/>
      <c r="U1271" s="118"/>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19" t="s">
        <v>3430</v>
      </c>
      <c r="D1273" s="120"/>
      <c r="E1273" s="123" t="s">
        <v>162</v>
      </c>
      <c r="H1273" s="36"/>
      <c r="I1273" s="36"/>
      <c r="J1273" s="36"/>
      <c r="K1273" s="36"/>
      <c r="L1273" s="36"/>
      <c r="M1273" s="36"/>
      <c r="N1273" s="36"/>
      <c r="O1273" s="36"/>
      <c r="P1273" s="36"/>
      <c r="Q1273" s="36"/>
      <c r="R1273" s="119" t="str">
        <f>"バックアップ_"&amp;SUBSTITUTE(C1273,"_結合","")</f>
        <v>バックアップ_DPCレセプト_診断群分類レコード</v>
      </c>
      <c r="S1273" s="120"/>
      <c r="T1273" s="125" t="str">
        <f>エンティティ一覧!$O$2</f>
        <v>milscm_2023_007</v>
      </c>
    </row>
    <row r="1274" spans="2:23" ht="18.75" customHeight="1">
      <c r="C1274" s="121"/>
      <c r="D1274" s="122"/>
      <c r="E1274" s="124"/>
      <c r="F1274" s="37"/>
      <c r="G1274" s="38"/>
      <c r="H1274" s="37"/>
      <c r="I1274" s="37"/>
      <c r="J1274" s="37"/>
      <c r="K1274" s="37"/>
      <c r="L1274" s="37"/>
      <c r="M1274" s="37"/>
      <c r="N1274" s="37"/>
      <c r="O1274" s="37"/>
      <c r="P1274" s="37"/>
      <c r="Q1274" s="37"/>
      <c r="R1274" s="121"/>
      <c r="S1274" s="122"/>
      <c r="T1274" s="126"/>
    </row>
    <row r="1275" spans="2:23" ht="18.75" customHeight="1">
      <c r="F1275" s="39"/>
      <c r="G1275" s="40"/>
    </row>
    <row r="1276" spans="2:23" ht="18.75" customHeight="1">
      <c r="C1276" s="119" t="s">
        <v>3188</v>
      </c>
      <c r="D1276" s="120"/>
      <c r="E1276" s="125" t="str">
        <f>エンティティ一覧!$O$2</f>
        <v>milscm_2023_007</v>
      </c>
      <c r="G1276" s="41"/>
    </row>
    <row r="1277" spans="2:23" ht="18.75" customHeight="1">
      <c r="C1277" s="121"/>
      <c r="D1277" s="122"/>
      <c r="E1277" s="126"/>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27" t="str">
        <f>R1285&amp;"登録"</f>
        <v>バックアップ_DPCレセプト_傷病レコード登録</v>
      </c>
      <c r="D1282" s="128"/>
      <c r="E1282" s="128"/>
      <c r="F1282" s="128"/>
      <c r="G1282" s="128"/>
      <c r="H1282" s="128"/>
      <c r="I1282" s="128"/>
      <c r="J1282" s="128"/>
      <c r="K1282" s="128"/>
      <c r="L1282" s="128"/>
      <c r="M1282" s="128"/>
      <c r="N1282" s="128"/>
      <c r="O1282" s="128"/>
      <c r="P1282" s="128"/>
      <c r="Q1282" s="128"/>
      <c r="R1282" s="128"/>
      <c r="S1282" s="128"/>
      <c r="T1282" s="128"/>
      <c r="U1282" s="129"/>
      <c r="W1282" s="35" t="str">
        <f>"-- "&amp;C1282</f>
        <v>-- バックアップ_DPCレセプト_傷病レコード登録</v>
      </c>
    </row>
    <row r="1283" spans="2:23" ht="18.75" customHeight="1">
      <c r="B1283" s="43" t="s">
        <v>159</v>
      </c>
      <c r="C1283" s="116"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17"/>
      <c r="E1283" s="117"/>
      <c r="F1283" s="117"/>
      <c r="G1283" s="117"/>
      <c r="H1283" s="117"/>
      <c r="I1283" s="117"/>
      <c r="J1283" s="117"/>
      <c r="K1283" s="117"/>
      <c r="L1283" s="117"/>
      <c r="M1283" s="117"/>
      <c r="N1283" s="117"/>
      <c r="O1283" s="117"/>
      <c r="P1283" s="117"/>
      <c r="Q1283" s="117"/>
      <c r="R1283" s="117"/>
      <c r="S1283" s="117"/>
      <c r="T1283" s="117"/>
      <c r="U1283" s="118"/>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19" t="s">
        <v>3432</v>
      </c>
      <c r="D1285" s="120"/>
      <c r="E1285" s="123" t="s">
        <v>162</v>
      </c>
      <c r="H1285" s="36"/>
      <c r="I1285" s="36"/>
      <c r="J1285" s="36"/>
      <c r="K1285" s="36"/>
      <c r="L1285" s="36"/>
      <c r="M1285" s="36"/>
      <c r="N1285" s="36"/>
      <c r="O1285" s="36"/>
      <c r="P1285" s="36"/>
      <c r="Q1285" s="36"/>
      <c r="R1285" s="119" t="str">
        <f>"バックアップ_"&amp;SUBSTITUTE(C1285,"_結合","")</f>
        <v>バックアップ_DPCレセプト_傷病レコード</v>
      </c>
      <c r="S1285" s="120"/>
      <c r="T1285" s="125" t="str">
        <f>エンティティ一覧!$O$2</f>
        <v>milscm_2023_007</v>
      </c>
    </row>
    <row r="1286" spans="2:23" ht="18.75" customHeight="1">
      <c r="C1286" s="121"/>
      <c r="D1286" s="122"/>
      <c r="E1286" s="124"/>
      <c r="F1286" s="37"/>
      <c r="G1286" s="38"/>
      <c r="H1286" s="37"/>
      <c r="I1286" s="37"/>
      <c r="J1286" s="37"/>
      <c r="K1286" s="37"/>
      <c r="L1286" s="37"/>
      <c r="M1286" s="37"/>
      <c r="N1286" s="37"/>
      <c r="O1286" s="37"/>
      <c r="P1286" s="37"/>
      <c r="Q1286" s="37"/>
      <c r="R1286" s="121"/>
      <c r="S1286" s="122"/>
      <c r="T1286" s="126"/>
    </row>
    <row r="1287" spans="2:23" ht="18.75" customHeight="1">
      <c r="F1287" s="39"/>
      <c r="G1287" s="40"/>
    </row>
    <row r="1288" spans="2:23" ht="18.75" customHeight="1">
      <c r="C1288" s="119" t="s">
        <v>3188</v>
      </c>
      <c r="D1288" s="120"/>
      <c r="E1288" s="125" t="str">
        <f>エンティティ一覧!$O$2</f>
        <v>milscm_2023_007</v>
      </c>
      <c r="G1288" s="41"/>
    </row>
    <row r="1289" spans="2:23" ht="18.75" customHeight="1">
      <c r="C1289" s="121"/>
      <c r="D1289" s="122"/>
      <c r="E1289" s="126"/>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27" t="str">
        <f>R1297&amp;"登録"</f>
        <v>バックアップ_DPCレセプト_傷病名レコード登録</v>
      </c>
      <c r="D1294" s="128"/>
      <c r="E1294" s="128"/>
      <c r="F1294" s="128"/>
      <c r="G1294" s="128"/>
      <c r="H1294" s="128"/>
      <c r="I1294" s="128"/>
      <c r="J1294" s="128"/>
      <c r="K1294" s="128"/>
      <c r="L1294" s="128"/>
      <c r="M1294" s="128"/>
      <c r="N1294" s="128"/>
      <c r="O1294" s="128"/>
      <c r="P1294" s="128"/>
      <c r="Q1294" s="128"/>
      <c r="R1294" s="128"/>
      <c r="S1294" s="128"/>
      <c r="T1294" s="128"/>
      <c r="U1294" s="129"/>
      <c r="W1294" s="35" t="str">
        <f>"-- "&amp;C1294</f>
        <v>-- バックアップ_DPCレセプト_傷病名レコード登録</v>
      </c>
    </row>
    <row r="1295" spans="2:23" ht="18.75" customHeight="1">
      <c r="B1295" s="43" t="s">
        <v>159</v>
      </c>
      <c r="C1295" s="116"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17"/>
      <c r="E1295" s="117"/>
      <c r="F1295" s="117"/>
      <c r="G1295" s="117"/>
      <c r="H1295" s="117"/>
      <c r="I1295" s="117"/>
      <c r="J1295" s="117"/>
      <c r="K1295" s="117"/>
      <c r="L1295" s="117"/>
      <c r="M1295" s="117"/>
      <c r="N1295" s="117"/>
      <c r="O1295" s="117"/>
      <c r="P1295" s="117"/>
      <c r="Q1295" s="117"/>
      <c r="R1295" s="117"/>
      <c r="S1295" s="117"/>
      <c r="T1295" s="117"/>
      <c r="U1295" s="118"/>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19" t="s">
        <v>3434</v>
      </c>
      <c r="D1297" s="120"/>
      <c r="E1297" s="123" t="s">
        <v>162</v>
      </c>
      <c r="H1297" s="36"/>
      <c r="I1297" s="36"/>
      <c r="J1297" s="36"/>
      <c r="K1297" s="36"/>
      <c r="L1297" s="36"/>
      <c r="M1297" s="36"/>
      <c r="N1297" s="36"/>
      <c r="O1297" s="36"/>
      <c r="P1297" s="36"/>
      <c r="Q1297" s="36"/>
      <c r="R1297" s="119" t="str">
        <f>"バックアップ_"&amp;SUBSTITUTE(C1297,"_結合","")</f>
        <v>バックアップ_DPCレセプト_傷病名レコード</v>
      </c>
      <c r="S1297" s="120"/>
      <c r="T1297" s="125" t="str">
        <f>エンティティ一覧!$O$2</f>
        <v>milscm_2023_007</v>
      </c>
    </row>
    <row r="1298" spans="2:23" ht="18.75" customHeight="1">
      <c r="C1298" s="121"/>
      <c r="D1298" s="122"/>
      <c r="E1298" s="124"/>
      <c r="F1298" s="37"/>
      <c r="G1298" s="38"/>
      <c r="H1298" s="37"/>
      <c r="I1298" s="37"/>
      <c r="J1298" s="37"/>
      <c r="K1298" s="37"/>
      <c r="L1298" s="37"/>
      <c r="M1298" s="37"/>
      <c r="N1298" s="37"/>
      <c r="O1298" s="37"/>
      <c r="P1298" s="37"/>
      <c r="Q1298" s="37"/>
      <c r="R1298" s="121"/>
      <c r="S1298" s="122"/>
      <c r="T1298" s="126"/>
    </row>
    <row r="1299" spans="2:23" ht="18.75" customHeight="1">
      <c r="F1299" s="39"/>
      <c r="G1299" s="40"/>
    </row>
    <row r="1300" spans="2:23" ht="18.75" customHeight="1">
      <c r="C1300" s="119" t="s">
        <v>3188</v>
      </c>
      <c r="D1300" s="120"/>
      <c r="E1300" s="125" t="str">
        <f>エンティティ一覧!$O$2</f>
        <v>milscm_2023_007</v>
      </c>
      <c r="G1300" s="41"/>
    </row>
    <row r="1301" spans="2:23" ht="18.75" customHeight="1">
      <c r="C1301" s="121"/>
      <c r="D1301" s="122"/>
      <c r="E1301" s="126"/>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27" t="str">
        <f>R1309&amp;"登録"</f>
        <v>バックアップ_DPCレセプト_診療行為レコード登録</v>
      </c>
      <c r="D1306" s="128"/>
      <c r="E1306" s="128"/>
      <c r="F1306" s="128"/>
      <c r="G1306" s="128"/>
      <c r="H1306" s="128"/>
      <c r="I1306" s="128"/>
      <c r="J1306" s="128"/>
      <c r="K1306" s="128"/>
      <c r="L1306" s="128"/>
      <c r="M1306" s="128"/>
      <c r="N1306" s="128"/>
      <c r="O1306" s="128"/>
      <c r="P1306" s="128"/>
      <c r="Q1306" s="128"/>
      <c r="R1306" s="128"/>
      <c r="S1306" s="128"/>
      <c r="T1306" s="128"/>
      <c r="U1306" s="129"/>
      <c r="W1306" s="35" t="str">
        <f>"-- "&amp;C1306</f>
        <v>-- バックアップ_DPCレセプト_診療行為レコード登録</v>
      </c>
    </row>
    <row r="1307" spans="2:23" ht="18.75" customHeight="1">
      <c r="B1307" s="43" t="s">
        <v>159</v>
      </c>
      <c r="C1307" s="116"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17"/>
      <c r="E1307" s="117"/>
      <c r="F1307" s="117"/>
      <c r="G1307" s="117"/>
      <c r="H1307" s="117"/>
      <c r="I1307" s="117"/>
      <c r="J1307" s="117"/>
      <c r="K1307" s="117"/>
      <c r="L1307" s="117"/>
      <c r="M1307" s="117"/>
      <c r="N1307" s="117"/>
      <c r="O1307" s="117"/>
      <c r="P1307" s="117"/>
      <c r="Q1307" s="117"/>
      <c r="R1307" s="117"/>
      <c r="S1307" s="117"/>
      <c r="T1307" s="117"/>
      <c r="U1307" s="118"/>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19" t="s">
        <v>3436</v>
      </c>
      <c r="D1309" s="120"/>
      <c r="E1309" s="123" t="s">
        <v>162</v>
      </c>
      <c r="H1309" s="36"/>
      <c r="I1309" s="36"/>
      <c r="J1309" s="36"/>
      <c r="K1309" s="36"/>
      <c r="L1309" s="36"/>
      <c r="M1309" s="36"/>
      <c r="N1309" s="36"/>
      <c r="O1309" s="36"/>
      <c r="P1309" s="36"/>
      <c r="Q1309" s="36"/>
      <c r="R1309" s="119" t="str">
        <f>"バックアップ_"&amp;SUBSTITUTE(C1309,"_結合","")</f>
        <v>バックアップ_DPCレセプト_診療行為レコード</v>
      </c>
      <c r="S1309" s="120"/>
      <c r="T1309" s="125" t="str">
        <f>エンティティ一覧!$O$2</f>
        <v>milscm_2023_007</v>
      </c>
    </row>
    <row r="1310" spans="2:23" ht="18.75" customHeight="1">
      <c r="C1310" s="121"/>
      <c r="D1310" s="122"/>
      <c r="E1310" s="124"/>
      <c r="F1310" s="37"/>
      <c r="G1310" s="38"/>
      <c r="H1310" s="37"/>
      <c r="I1310" s="37"/>
      <c r="J1310" s="37"/>
      <c r="K1310" s="37"/>
      <c r="L1310" s="37"/>
      <c r="M1310" s="37"/>
      <c r="N1310" s="37"/>
      <c r="O1310" s="37"/>
      <c r="P1310" s="37"/>
      <c r="Q1310" s="37"/>
      <c r="R1310" s="121"/>
      <c r="S1310" s="122"/>
      <c r="T1310" s="126"/>
    </row>
    <row r="1311" spans="2:23" ht="18.75" customHeight="1">
      <c r="F1311" s="39"/>
      <c r="G1311" s="40"/>
    </row>
    <row r="1312" spans="2:23" ht="18.75" customHeight="1">
      <c r="C1312" s="119" t="s">
        <v>3188</v>
      </c>
      <c r="D1312" s="120"/>
      <c r="E1312" s="125" t="str">
        <f>エンティティ一覧!$O$2</f>
        <v>milscm_2023_007</v>
      </c>
      <c r="G1312" s="41"/>
    </row>
    <row r="1313" spans="2:23" ht="18.75" customHeight="1">
      <c r="C1313" s="121"/>
      <c r="D1313" s="122"/>
      <c r="E1313" s="126"/>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27" t="str">
        <f>R1321&amp;"登録"</f>
        <v>バックアップ_DPCレセプト_診療行為レコード_算定日情報登録</v>
      </c>
      <c r="D1318" s="128"/>
      <c r="E1318" s="128"/>
      <c r="F1318" s="128"/>
      <c r="G1318" s="128"/>
      <c r="H1318" s="128"/>
      <c r="I1318" s="128"/>
      <c r="J1318" s="128"/>
      <c r="K1318" s="128"/>
      <c r="L1318" s="128"/>
      <c r="M1318" s="128"/>
      <c r="N1318" s="128"/>
      <c r="O1318" s="128"/>
      <c r="P1318" s="128"/>
      <c r="Q1318" s="128"/>
      <c r="R1318" s="128"/>
      <c r="S1318" s="128"/>
      <c r="T1318" s="128"/>
      <c r="U1318" s="129"/>
      <c r="W1318" s="35" t="str">
        <f>"-- "&amp;C1318</f>
        <v>-- バックアップ_DPCレセプト_診療行為レコード_算定日情報登録</v>
      </c>
    </row>
    <row r="1319" spans="2:23" ht="18.75" customHeight="1">
      <c r="B1319" s="43" t="s">
        <v>159</v>
      </c>
      <c r="C1319" s="116"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17"/>
      <c r="E1319" s="117"/>
      <c r="F1319" s="117"/>
      <c r="G1319" s="117"/>
      <c r="H1319" s="117"/>
      <c r="I1319" s="117"/>
      <c r="J1319" s="117"/>
      <c r="K1319" s="117"/>
      <c r="L1319" s="117"/>
      <c r="M1319" s="117"/>
      <c r="N1319" s="117"/>
      <c r="O1319" s="117"/>
      <c r="P1319" s="117"/>
      <c r="Q1319" s="117"/>
      <c r="R1319" s="117"/>
      <c r="S1319" s="117"/>
      <c r="T1319" s="117"/>
      <c r="U1319" s="118"/>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19" t="s">
        <v>3438</v>
      </c>
      <c r="D1321" s="120"/>
      <c r="E1321" s="123" t="s">
        <v>162</v>
      </c>
      <c r="H1321" s="36"/>
      <c r="I1321" s="36"/>
      <c r="J1321" s="36"/>
      <c r="K1321" s="36"/>
      <c r="L1321" s="36"/>
      <c r="M1321" s="36"/>
      <c r="N1321" s="36"/>
      <c r="O1321" s="36"/>
      <c r="P1321" s="36"/>
      <c r="Q1321" s="36"/>
      <c r="R1321" s="130" t="str">
        <f>"バックアップ_"&amp;SUBSTITUTE(C1321,"_結合","")</f>
        <v>バックアップ_DPCレセプト_診療行為レコード_算定日情報</v>
      </c>
      <c r="S1321" s="131"/>
      <c r="T1321" s="125" t="str">
        <f>エンティティ一覧!$O$2</f>
        <v>milscm_2023_007</v>
      </c>
    </row>
    <row r="1322" spans="2:23" ht="18.75" customHeight="1">
      <c r="C1322" s="121"/>
      <c r="D1322" s="122"/>
      <c r="E1322" s="124"/>
      <c r="F1322" s="37"/>
      <c r="G1322" s="38"/>
      <c r="H1322" s="37"/>
      <c r="I1322" s="37"/>
      <c r="J1322" s="37"/>
      <c r="K1322" s="37"/>
      <c r="L1322" s="37"/>
      <c r="M1322" s="37"/>
      <c r="N1322" s="37"/>
      <c r="O1322" s="37"/>
      <c r="P1322" s="37"/>
      <c r="Q1322" s="37"/>
      <c r="R1322" s="132"/>
      <c r="S1322" s="133"/>
      <c r="T1322" s="126"/>
    </row>
    <row r="1323" spans="2:23" ht="18.75" customHeight="1">
      <c r="F1323" s="39"/>
      <c r="G1323" s="40"/>
    </row>
    <row r="1324" spans="2:23" ht="18.75" customHeight="1">
      <c r="C1324" s="119" t="s">
        <v>3188</v>
      </c>
      <c r="D1324" s="120"/>
      <c r="E1324" s="125" t="str">
        <f>エンティティ一覧!$O$2</f>
        <v>milscm_2023_007</v>
      </c>
      <c r="G1324" s="41"/>
    </row>
    <row r="1325" spans="2:23" ht="18.75" customHeight="1">
      <c r="C1325" s="121"/>
      <c r="D1325" s="122"/>
      <c r="E1325" s="126"/>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27" t="str">
        <f>R1333&amp;"登録"</f>
        <v>バックアップ_DPCレセプト_医薬品レコード登録</v>
      </c>
      <c r="D1330" s="128"/>
      <c r="E1330" s="128"/>
      <c r="F1330" s="128"/>
      <c r="G1330" s="128"/>
      <c r="H1330" s="128"/>
      <c r="I1330" s="128"/>
      <c r="J1330" s="128"/>
      <c r="K1330" s="128"/>
      <c r="L1330" s="128"/>
      <c r="M1330" s="128"/>
      <c r="N1330" s="128"/>
      <c r="O1330" s="128"/>
      <c r="P1330" s="128"/>
      <c r="Q1330" s="128"/>
      <c r="R1330" s="128"/>
      <c r="S1330" s="128"/>
      <c r="T1330" s="128"/>
      <c r="U1330" s="129"/>
      <c r="W1330" s="35" t="str">
        <f>"-- "&amp;C1330</f>
        <v>-- バックアップ_DPCレセプト_医薬品レコード登録</v>
      </c>
    </row>
    <row r="1331" spans="2:23" ht="18.75" customHeight="1">
      <c r="B1331" s="43" t="s">
        <v>159</v>
      </c>
      <c r="C1331" s="116"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17"/>
      <c r="E1331" s="117"/>
      <c r="F1331" s="117"/>
      <c r="G1331" s="117"/>
      <c r="H1331" s="117"/>
      <c r="I1331" s="117"/>
      <c r="J1331" s="117"/>
      <c r="K1331" s="117"/>
      <c r="L1331" s="117"/>
      <c r="M1331" s="117"/>
      <c r="N1331" s="117"/>
      <c r="O1331" s="117"/>
      <c r="P1331" s="117"/>
      <c r="Q1331" s="117"/>
      <c r="R1331" s="117"/>
      <c r="S1331" s="117"/>
      <c r="T1331" s="117"/>
      <c r="U1331" s="118"/>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19" t="s">
        <v>3440</v>
      </c>
      <c r="D1333" s="120"/>
      <c r="E1333" s="123" t="s">
        <v>162</v>
      </c>
      <c r="H1333" s="36"/>
      <c r="I1333" s="36"/>
      <c r="J1333" s="36"/>
      <c r="K1333" s="36"/>
      <c r="L1333" s="36"/>
      <c r="M1333" s="36"/>
      <c r="N1333" s="36"/>
      <c r="O1333" s="36"/>
      <c r="P1333" s="36"/>
      <c r="Q1333" s="36"/>
      <c r="R1333" s="119" t="str">
        <f>"バックアップ_"&amp;SUBSTITUTE(C1333,"_結合","")</f>
        <v>バックアップ_DPCレセプト_医薬品レコード</v>
      </c>
      <c r="S1333" s="120"/>
      <c r="T1333" s="125" t="str">
        <f>エンティティ一覧!$O$2</f>
        <v>milscm_2023_007</v>
      </c>
    </row>
    <row r="1334" spans="2:23" ht="18.75" customHeight="1">
      <c r="C1334" s="121"/>
      <c r="D1334" s="122"/>
      <c r="E1334" s="124"/>
      <c r="F1334" s="37"/>
      <c r="G1334" s="38"/>
      <c r="H1334" s="37"/>
      <c r="I1334" s="37"/>
      <c r="J1334" s="37"/>
      <c r="K1334" s="37"/>
      <c r="L1334" s="37"/>
      <c r="M1334" s="37"/>
      <c r="N1334" s="37"/>
      <c r="O1334" s="37"/>
      <c r="P1334" s="37"/>
      <c r="Q1334" s="37"/>
      <c r="R1334" s="121"/>
      <c r="S1334" s="122"/>
      <c r="T1334" s="126"/>
    </row>
    <row r="1335" spans="2:23" ht="18.75" customHeight="1">
      <c r="F1335" s="39"/>
      <c r="G1335" s="40"/>
    </row>
    <row r="1336" spans="2:23" ht="18.75" customHeight="1">
      <c r="C1336" s="119" t="s">
        <v>3188</v>
      </c>
      <c r="D1336" s="120"/>
      <c r="E1336" s="125" t="str">
        <f>エンティティ一覧!$O$2</f>
        <v>milscm_2023_007</v>
      </c>
      <c r="G1336" s="41"/>
    </row>
    <row r="1337" spans="2:23" ht="18.75" customHeight="1">
      <c r="C1337" s="121"/>
      <c r="D1337" s="122"/>
      <c r="E1337" s="126"/>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27" t="str">
        <f>R1345&amp;"登録"</f>
        <v>バックアップ_DPCレセプト_医薬品レコード_算定日情報登録</v>
      </c>
      <c r="D1342" s="128"/>
      <c r="E1342" s="128"/>
      <c r="F1342" s="128"/>
      <c r="G1342" s="128"/>
      <c r="H1342" s="128"/>
      <c r="I1342" s="128"/>
      <c r="J1342" s="128"/>
      <c r="K1342" s="128"/>
      <c r="L1342" s="128"/>
      <c r="M1342" s="128"/>
      <c r="N1342" s="128"/>
      <c r="O1342" s="128"/>
      <c r="P1342" s="128"/>
      <c r="Q1342" s="128"/>
      <c r="R1342" s="128"/>
      <c r="S1342" s="128"/>
      <c r="T1342" s="128"/>
      <c r="U1342" s="129"/>
      <c r="W1342" s="35" t="str">
        <f>"-- "&amp;C1342</f>
        <v>-- バックアップ_DPCレセプト_医薬品レコード_算定日情報登録</v>
      </c>
    </row>
    <row r="1343" spans="2:23" ht="18.75" customHeight="1">
      <c r="B1343" s="43" t="s">
        <v>159</v>
      </c>
      <c r="C1343" s="116"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17"/>
      <c r="E1343" s="117"/>
      <c r="F1343" s="117"/>
      <c r="G1343" s="117"/>
      <c r="H1343" s="117"/>
      <c r="I1343" s="117"/>
      <c r="J1343" s="117"/>
      <c r="K1343" s="117"/>
      <c r="L1343" s="117"/>
      <c r="M1343" s="117"/>
      <c r="N1343" s="117"/>
      <c r="O1343" s="117"/>
      <c r="P1343" s="117"/>
      <c r="Q1343" s="117"/>
      <c r="R1343" s="117"/>
      <c r="S1343" s="117"/>
      <c r="T1343" s="117"/>
      <c r="U1343" s="118"/>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19" t="s">
        <v>3442</v>
      </c>
      <c r="D1345" s="120"/>
      <c r="E1345" s="123" t="s">
        <v>162</v>
      </c>
      <c r="H1345" s="36"/>
      <c r="I1345" s="36"/>
      <c r="J1345" s="36"/>
      <c r="K1345" s="36"/>
      <c r="L1345" s="36"/>
      <c r="M1345" s="36"/>
      <c r="N1345" s="36"/>
      <c r="O1345" s="36"/>
      <c r="P1345" s="36"/>
      <c r="Q1345" s="36"/>
      <c r="R1345" s="130" t="str">
        <f>"バックアップ_"&amp;SUBSTITUTE(C1345,"_結合","")</f>
        <v>バックアップ_DPCレセプト_医薬品レコード_算定日情報</v>
      </c>
      <c r="S1345" s="131"/>
      <c r="T1345" s="125" t="str">
        <f>エンティティ一覧!$O$2</f>
        <v>milscm_2023_007</v>
      </c>
    </row>
    <row r="1346" spans="2:23" ht="18.75" customHeight="1">
      <c r="C1346" s="121"/>
      <c r="D1346" s="122"/>
      <c r="E1346" s="124"/>
      <c r="F1346" s="37"/>
      <c r="G1346" s="38"/>
      <c r="H1346" s="37"/>
      <c r="I1346" s="37"/>
      <c r="J1346" s="37"/>
      <c r="K1346" s="37"/>
      <c r="L1346" s="37"/>
      <c r="M1346" s="37"/>
      <c r="N1346" s="37"/>
      <c r="O1346" s="37"/>
      <c r="P1346" s="37"/>
      <c r="Q1346" s="37"/>
      <c r="R1346" s="132"/>
      <c r="S1346" s="133"/>
      <c r="T1346" s="126"/>
    </row>
    <row r="1347" spans="2:23" ht="18.75" customHeight="1">
      <c r="F1347" s="39"/>
      <c r="G1347" s="40"/>
    </row>
    <row r="1348" spans="2:23" ht="18.75" customHeight="1">
      <c r="C1348" s="119" t="s">
        <v>3188</v>
      </c>
      <c r="D1348" s="120"/>
      <c r="E1348" s="125" t="str">
        <f>エンティティ一覧!$O$2</f>
        <v>milscm_2023_007</v>
      </c>
      <c r="G1348" s="41"/>
    </row>
    <row r="1349" spans="2:23" ht="18.75" customHeight="1">
      <c r="C1349" s="121"/>
      <c r="D1349" s="122"/>
      <c r="E1349" s="126"/>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27" t="str">
        <f>R1357&amp;"登録"</f>
        <v>バックアップ_DPCレセプト_臓器提供者レセプト情報レコード登録</v>
      </c>
      <c r="D1354" s="128"/>
      <c r="E1354" s="128"/>
      <c r="F1354" s="128"/>
      <c r="G1354" s="128"/>
      <c r="H1354" s="128"/>
      <c r="I1354" s="128"/>
      <c r="J1354" s="128"/>
      <c r="K1354" s="128"/>
      <c r="L1354" s="128"/>
      <c r="M1354" s="128"/>
      <c r="N1354" s="128"/>
      <c r="O1354" s="128"/>
      <c r="P1354" s="128"/>
      <c r="Q1354" s="128"/>
      <c r="R1354" s="128"/>
      <c r="S1354" s="128"/>
      <c r="T1354" s="128"/>
      <c r="U1354" s="129"/>
      <c r="W1354" s="35" t="str">
        <f>"-- "&amp;C1354</f>
        <v>-- バックアップ_DPCレセプト_臓器提供者レセプト情報レコード登録</v>
      </c>
    </row>
    <row r="1355" spans="2:23" ht="18.75" customHeight="1">
      <c r="B1355" s="43" t="s">
        <v>159</v>
      </c>
      <c r="C1355" s="116"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17"/>
      <c r="E1355" s="117"/>
      <c r="F1355" s="117"/>
      <c r="G1355" s="117"/>
      <c r="H1355" s="117"/>
      <c r="I1355" s="117"/>
      <c r="J1355" s="117"/>
      <c r="K1355" s="117"/>
      <c r="L1355" s="117"/>
      <c r="M1355" s="117"/>
      <c r="N1355" s="117"/>
      <c r="O1355" s="117"/>
      <c r="P1355" s="117"/>
      <c r="Q1355" s="117"/>
      <c r="R1355" s="117"/>
      <c r="S1355" s="117"/>
      <c r="T1355" s="117"/>
      <c r="U1355" s="118"/>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19" t="s">
        <v>3444</v>
      </c>
      <c r="D1357" s="120"/>
      <c r="E1357" s="123" t="s">
        <v>162</v>
      </c>
      <c r="H1357" s="36"/>
      <c r="I1357" s="36"/>
      <c r="J1357" s="36"/>
      <c r="K1357" s="36"/>
      <c r="L1357" s="36"/>
      <c r="M1357" s="36"/>
      <c r="N1357" s="36"/>
      <c r="O1357" s="36"/>
      <c r="P1357" s="36"/>
      <c r="Q1357" s="36"/>
      <c r="R1357" s="138" t="str">
        <f>"バックアップ_"&amp;SUBSTITUTE(C1357,"_結合","")</f>
        <v>バックアップ_DPCレセプト_臓器提供者レセプト情報レコード</v>
      </c>
      <c r="S1357" s="139"/>
      <c r="T1357" s="125" t="str">
        <f>エンティティ一覧!$O$2</f>
        <v>milscm_2023_007</v>
      </c>
    </row>
    <row r="1358" spans="2:23" ht="18.75" customHeight="1">
      <c r="C1358" s="121"/>
      <c r="D1358" s="122"/>
      <c r="E1358" s="124"/>
      <c r="F1358" s="37"/>
      <c r="G1358" s="38"/>
      <c r="H1358" s="37"/>
      <c r="I1358" s="37"/>
      <c r="J1358" s="37"/>
      <c r="K1358" s="37"/>
      <c r="L1358" s="37"/>
      <c r="M1358" s="37"/>
      <c r="N1358" s="37"/>
      <c r="O1358" s="37"/>
      <c r="P1358" s="37"/>
      <c r="Q1358" s="37"/>
      <c r="R1358" s="140"/>
      <c r="S1358" s="141"/>
      <c r="T1358" s="126"/>
    </row>
    <row r="1359" spans="2:23" ht="18.75" customHeight="1">
      <c r="F1359" s="39"/>
      <c r="G1359" s="40"/>
    </row>
    <row r="1360" spans="2:23" ht="18.75" customHeight="1">
      <c r="C1360" s="119" t="s">
        <v>3188</v>
      </c>
      <c r="D1360" s="120"/>
      <c r="E1360" s="125" t="str">
        <f>エンティティ一覧!$O$2</f>
        <v>milscm_2023_007</v>
      </c>
      <c r="G1360" s="41"/>
    </row>
    <row r="1361" spans="2:23" ht="18.75" customHeight="1">
      <c r="C1361" s="121"/>
      <c r="D1361" s="122"/>
      <c r="E1361" s="126"/>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27" t="str">
        <f>R1369&amp;"登録"</f>
        <v>バックアップ_患者情報モジュール_患者情報登録</v>
      </c>
      <c r="D1366" s="128"/>
      <c r="E1366" s="128"/>
      <c r="F1366" s="128"/>
      <c r="G1366" s="128"/>
      <c r="H1366" s="128"/>
      <c r="I1366" s="128"/>
      <c r="J1366" s="128"/>
      <c r="K1366" s="128"/>
      <c r="L1366" s="128"/>
      <c r="M1366" s="128"/>
      <c r="N1366" s="128"/>
      <c r="O1366" s="128"/>
      <c r="P1366" s="128"/>
      <c r="Q1366" s="128"/>
      <c r="R1366" s="128"/>
      <c r="S1366" s="128"/>
      <c r="T1366" s="128"/>
      <c r="U1366" s="129"/>
      <c r="W1366" s="35" t="str">
        <f>"-- "&amp;C1366</f>
        <v>-- バックアップ_患者情報モジュール_患者情報登録</v>
      </c>
    </row>
    <row r="1367" spans="2:23" ht="18.75" customHeight="1">
      <c r="B1367" s="43" t="s">
        <v>159</v>
      </c>
      <c r="C1367" s="116"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17"/>
      <c r="E1367" s="117"/>
      <c r="F1367" s="117"/>
      <c r="G1367" s="117"/>
      <c r="H1367" s="117"/>
      <c r="I1367" s="117"/>
      <c r="J1367" s="117"/>
      <c r="K1367" s="117"/>
      <c r="L1367" s="117"/>
      <c r="M1367" s="117"/>
      <c r="N1367" s="117"/>
      <c r="O1367" s="117"/>
      <c r="P1367" s="117"/>
      <c r="Q1367" s="117"/>
      <c r="R1367" s="117"/>
      <c r="S1367" s="117"/>
      <c r="T1367" s="117"/>
      <c r="U1367" s="118"/>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19" t="s">
        <v>3446</v>
      </c>
      <c r="D1369" s="120"/>
      <c r="E1369" s="123" t="s">
        <v>162</v>
      </c>
      <c r="H1369" s="36"/>
      <c r="I1369" s="36"/>
      <c r="J1369" s="36"/>
      <c r="K1369" s="36"/>
      <c r="L1369" s="36"/>
      <c r="M1369" s="36"/>
      <c r="N1369" s="36"/>
      <c r="O1369" s="36"/>
      <c r="P1369" s="36"/>
      <c r="Q1369" s="36"/>
      <c r="R1369" s="119" t="str">
        <f>"バックアップ_"&amp;SUBSTITUTE(C1369,"_結合","")</f>
        <v>バックアップ_患者情報モジュール_患者情報</v>
      </c>
      <c r="S1369" s="120"/>
      <c r="T1369" s="125" t="str">
        <f>エンティティ一覧!$O$2</f>
        <v>milscm_2023_007</v>
      </c>
    </row>
    <row r="1370" spans="2:23" ht="18.75" customHeight="1">
      <c r="C1370" s="121"/>
      <c r="D1370" s="122"/>
      <c r="E1370" s="124"/>
      <c r="F1370" s="37"/>
      <c r="G1370" s="38"/>
      <c r="H1370" s="37"/>
      <c r="I1370" s="37"/>
      <c r="J1370" s="37"/>
      <c r="K1370" s="37"/>
      <c r="L1370" s="37"/>
      <c r="M1370" s="37"/>
      <c r="N1370" s="37"/>
      <c r="O1370" s="37"/>
      <c r="P1370" s="37"/>
      <c r="Q1370" s="37"/>
      <c r="R1370" s="121"/>
      <c r="S1370" s="122"/>
      <c r="T1370" s="126"/>
    </row>
    <row r="1371" spans="2:23" ht="18.75" customHeight="1">
      <c r="F1371" s="39"/>
      <c r="G1371" s="40"/>
    </row>
    <row r="1372" spans="2:23" ht="18.75" customHeight="1">
      <c r="C1372" s="119" t="s">
        <v>3188</v>
      </c>
      <c r="D1372" s="120"/>
      <c r="E1372" s="125" t="str">
        <f>エンティティ一覧!$O$2</f>
        <v>milscm_2023_007</v>
      </c>
      <c r="G1372" s="41"/>
    </row>
    <row r="1373" spans="2:23" ht="18.75" customHeight="1">
      <c r="C1373" s="121"/>
      <c r="D1373" s="122"/>
      <c r="E1373" s="126"/>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27" t="str">
        <f>R1381&amp;"登録"</f>
        <v>バックアップ_診断履歴情報モジュール_診断履歴情報レコード登録</v>
      </c>
      <c r="D1378" s="128"/>
      <c r="E1378" s="128"/>
      <c r="F1378" s="128"/>
      <c r="G1378" s="128"/>
      <c r="H1378" s="128"/>
      <c r="I1378" s="128"/>
      <c r="J1378" s="128"/>
      <c r="K1378" s="128"/>
      <c r="L1378" s="128"/>
      <c r="M1378" s="128"/>
      <c r="N1378" s="128"/>
      <c r="O1378" s="128"/>
      <c r="P1378" s="128"/>
      <c r="Q1378" s="128"/>
      <c r="R1378" s="128"/>
      <c r="S1378" s="128"/>
      <c r="T1378" s="128"/>
      <c r="U1378" s="129"/>
      <c r="W1378" s="35" t="str">
        <f>"-- "&amp;C1378</f>
        <v>-- バックアップ_診断履歴情報モジュール_診断履歴情報レコード登録</v>
      </c>
    </row>
    <row r="1379" spans="2:23" ht="18.75" customHeight="1">
      <c r="B1379" s="43" t="s">
        <v>159</v>
      </c>
      <c r="C1379" s="116"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17"/>
      <c r="E1379" s="117"/>
      <c r="F1379" s="117"/>
      <c r="G1379" s="117"/>
      <c r="H1379" s="117"/>
      <c r="I1379" s="117"/>
      <c r="J1379" s="117"/>
      <c r="K1379" s="117"/>
      <c r="L1379" s="117"/>
      <c r="M1379" s="117"/>
      <c r="N1379" s="117"/>
      <c r="O1379" s="117"/>
      <c r="P1379" s="117"/>
      <c r="Q1379" s="117"/>
      <c r="R1379" s="117"/>
      <c r="S1379" s="117"/>
      <c r="T1379" s="117"/>
      <c r="U1379" s="118"/>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19" t="s">
        <v>3448</v>
      </c>
      <c r="D1381" s="120"/>
      <c r="E1381" s="123" t="s">
        <v>162</v>
      </c>
      <c r="H1381" s="36"/>
      <c r="I1381" s="36"/>
      <c r="J1381" s="36"/>
      <c r="K1381" s="36"/>
      <c r="L1381" s="36"/>
      <c r="M1381" s="36"/>
      <c r="N1381" s="36"/>
      <c r="O1381" s="36"/>
      <c r="P1381" s="36"/>
      <c r="Q1381" s="36"/>
      <c r="R1381" s="138" t="str">
        <f>"バックアップ_"&amp;SUBSTITUTE(C1381,"_結合","")</f>
        <v>バックアップ_診断履歴情報モジュール_診断履歴情報レコード</v>
      </c>
      <c r="S1381" s="139"/>
      <c r="T1381" s="125" t="str">
        <f>エンティティ一覧!$O$2</f>
        <v>milscm_2023_007</v>
      </c>
    </row>
    <row r="1382" spans="2:23" ht="18.75" customHeight="1">
      <c r="C1382" s="121"/>
      <c r="D1382" s="122"/>
      <c r="E1382" s="124"/>
      <c r="F1382" s="37"/>
      <c r="G1382" s="38"/>
      <c r="H1382" s="37"/>
      <c r="I1382" s="37"/>
      <c r="J1382" s="37"/>
      <c r="K1382" s="37"/>
      <c r="L1382" s="37"/>
      <c r="M1382" s="37"/>
      <c r="N1382" s="37"/>
      <c r="O1382" s="37"/>
      <c r="P1382" s="37"/>
      <c r="Q1382" s="37"/>
      <c r="R1382" s="140"/>
      <c r="S1382" s="141"/>
      <c r="T1382" s="126"/>
    </row>
    <row r="1383" spans="2:23" ht="18.75" customHeight="1">
      <c r="F1383" s="39"/>
      <c r="G1383" s="40"/>
    </row>
    <row r="1384" spans="2:23" ht="18.75" customHeight="1">
      <c r="C1384" s="119" t="s">
        <v>3188</v>
      </c>
      <c r="D1384" s="120"/>
      <c r="E1384" s="125" t="str">
        <f>エンティティ一覧!$O$2</f>
        <v>milscm_2023_007</v>
      </c>
      <c r="G1384" s="41"/>
    </row>
    <row r="1385" spans="2:23" ht="18.75" customHeight="1">
      <c r="C1385" s="121"/>
      <c r="D1385" s="122"/>
      <c r="E1385" s="126"/>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27" t="str">
        <f>R1393&amp;"登録"</f>
        <v>バックアップ_診断履歴情報モジュール_診断病名レコード登録</v>
      </c>
      <c r="D1390" s="128"/>
      <c r="E1390" s="128"/>
      <c r="F1390" s="128"/>
      <c r="G1390" s="128"/>
      <c r="H1390" s="128"/>
      <c r="I1390" s="128"/>
      <c r="J1390" s="128"/>
      <c r="K1390" s="128"/>
      <c r="L1390" s="128"/>
      <c r="M1390" s="128"/>
      <c r="N1390" s="128"/>
      <c r="O1390" s="128"/>
      <c r="P1390" s="128"/>
      <c r="Q1390" s="128"/>
      <c r="R1390" s="128"/>
      <c r="S1390" s="128"/>
      <c r="T1390" s="128"/>
      <c r="U1390" s="129"/>
      <c r="W1390" s="35" t="str">
        <f>"-- "&amp;C1390</f>
        <v>-- バックアップ_診断履歴情報モジュール_診断病名レコード登録</v>
      </c>
    </row>
    <row r="1391" spans="2:23" ht="18.75" customHeight="1">
      <c r="B1391" s="43" t="s">
        <v>159</v>
      </c>
      <c r="C1391" s="116"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17"/>
      <c r="E1391" s="117"/>
      <c r="F1391" s="117"/>
      <c r="G1391" s="117"/>
      <c r="H1391" s="117"/>
      <c r="I1391" s="117"/>
      <c r="J1391" s="117"/>
      <c r="K1391" s="117"/>
      <c r="L1391" s="117"/>
      <c r="M1391" s="117"/>
      <c r="N1391" s="117"/>
      <c r="O1391" s="117"/>
      <c r="P1391" s="117"/>
      <c r="Q1391" s="117"/>
      <c r="R1391" s="117"/>
      <c r="S1391" s="117"/>
      <c r="T1391" s="117"/>
      <c r="U1391" s="118"/>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19" t="s">
        <v>3450</v>
      </c>
      <c r="D1393" s="120"/>
      <c r="E1393" s="123" t="s">
        <v>162</v>
      </c>
      <c r="H1393" s="36"/>
      <c r="I1393" s="36"/>
      <c r="J1393" s="36"/>
      <c r="K1393" s="36"/>
      <c r="L1393" s="36"/>
      <c r="M1393" s="36"/>
      <c r="N1393" s="36"/>
      <c r="O1393" s="36"/>
      <c r="P1393" s="36"/>
      <c r="Q1393" s="36"/>
      <c r="R1393" s="138" t="str">
        <f>"バックアップ_"&amp;SUBSTITUTE(C1393,"_結合","")</f>
        <v>バックアップ_診断履歴情報モジュール_診断病名レコード</v>
      </c>
      <c r="S1393" s="139"/>
      <c r="T1393" s="125" t="str">
        <f>エンティティ一覧!$O$2</f>
        <v>milscm_2023_007</v>
      </c>
    </row>
    <row r="1394" spans="2:23" ht="18.75" customHeight="1">
      <c r="C1394" s="121"/>
      <c r="D1394" s="122"/>
      <c r="E1394" s="124"/>
      <c r="F1394" s="37"/>
      <c r="G1394" s="38"/>
      <c r="H1394" s="37"/>
      <c r="I1394" s="37"/>
      <c r="J1394" s="37"/>
      <c r="K1394" s="37"/>
      <c r="L1394" s="37"/>
      <c r="M1394" s="37"/>
      <c r="N1394" s="37"/>
      <c r="O1394" s="37"/>
      <c r="P1394" s="37"/>
      <c r="Q1394" s="37"/>
      <c r="R1394" s="140"/>
      <c r="S1394" s="141"/>
      <c r="T1394" s="126"/>
    </row>
    <row r="1395" spans="2:23" ht="18.75" customHeight="1">
      <c r="F1395" s="39"/>
      <c r="G1395" s="40"/>
    </row>
    <row r="1396" spans="2:23" ht="18.75" customHeight="1">
      <c r="C1396" s="119" t="s">
        <v>3188</v>
      </c>
      <c r="D1396" s="120"/>
      <c r="E1396" s="125" t="str">
        <f>エンティティ一覧!$O$2</f>
        <v>milscm_2023_007</v>
      </c>
      <c r="G1396" s="41"/>
    </row>
    <row r="1397" spans="2:23" ht="18.75" customHeight="1">
      <c r="C1397" s="121"/>
      <c r="D1397" s="122"/>
      <c r="E1397" s="126"/>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27" t="str">
        <f>R1405&amp;"登録"</f>
        <v>バックアップ_診断履歴情報モジュール_診断分類レコード登録</v>
      </c>
      <c r="D1402" s="128"/>
      <c r="E1402" s="128"/>
      <c r="F1402" s="128"/>
      <c r="G1402" s="128"/>
      <c r="H1402" s="128"/>
      <c r="I1402" s="128"/>
      <c r="J1402" s="128"/>
      <c r="K1402" s="128"/>
      <c r="L1402" s="128"/>
      <c r="M1402" s="128"/>
      <c r="N1402" s="128"/>
      <c r="O1402" s="128"/>
      <c r="P1402" s="128"/>
      <c r="Q1402" s="128"/>
      <c r="R1402" s="128"/>
      <c r="S1402" s="128"/>
      <c r="T1402" s="128"/>
      <c r="U1402" s="129"/>
      <c r="W1402" s="35" t="str">
        <f>"-- "&amp;C1402</f>
        <v>-- バックアップ_診断履歴情報モジュール_診断分類レコード登録</v>
      </c>
    </row>
    <row r="1403" spans="2:23" ht="18.75" customHeight="1">
      <c r="B1403" s="43" t="s">
        <v>159</v>
      </c>
      <c r="C1403" s="116"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17"/>
      <c r="E1403" s="117"/>
      <c r="F1403" s="117"/>
      <c r="G1403" s="117"/>
      <c r="H1403" s="117"/>
      <c r="I1403" s="117"/>
      <c r="J1403" s="117"/>
      <c r="K1403" s="117"/>
      <c r="L1403" s="117"/>
      <c r="M1403" s="117"/>
      <c r="N1403" s="117"/>
      <c r="O1403" s="117"/>
      <c r="P1403" s="117"/>
      <c r="Q1403" s="117"/>
      <c r="R1403" s="117"/>
      <c r="S1403" s="117"/>
      <c r="T1403" s="117"/>
      <c r="U1403" s="118"/>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19" t="s">
        <v>3452</v>
      </c>
      <c r="D1405" s="120"/>
      <c r="E1405" s="123" t="s">
        <v>162</v>
      </c>
      <c r="H1405" s="36"/>
      <c r="I1405" s="36"/>
      <c r="J1405" s="36"/>
      <c r="K1405" s="36"/>
      <c r="L1405" s="36"/>
      <c r="M1405" s="36"/>
      <c r="N1405" s="36"/>
      <c r="O1405" s="36"/>
      <c r="P1405" s="36"/>
      <c r="Q1405" s="36"/>
      <c r="R1405" s="138" t="str">
        <f>"バックアップ_"&amp;SUBSTITUTE(C1405,"_結合","")</f>
        <v>バックアップ_診断履歴情報モジュール_診断分類レコード</v>
      </c>
      <c r="S1405" s="139"/>
      <c r="T1405" s="125" t="str">
        <f>エンティティ一覧!$O$2</f>
        <v>milscm_2023_007</v>
      </c>
    </row>
    <row r="1406" spans="2:23" ht="18.75" customHeight="1">
      <c r="C1406" s="121"/>
      <c r="D1406" s="122"/>
      <c r="E1406" s="124"/>
      <c r="F1406" s="37"/>
      <c r="G1406" s="38"/>
      <c r="H1406" s="37"/>
      <c r="I1406" s="37"/>
      <c r="J1406" s="37"/>
      <c r="K1406" s="37"/>
      <c r="L1406" s="37"/>
      <c r="M1406" s="37"/>
      <c r="N1406" s="37"/>
      <c r="O1406" s="37"/>
      <c r="P1406" s="37"/>
      <c r="Q1406" s="37"/>
      <c r="R1406" s="140"/>
      <c r="S1406" s="141"/>
      <c r="T1406" s="126"/>
    </row>
    <row r="1407" spans="2:23" ht="18.75" customHeight="1">
      <c r="F1407" s="39"/>
      <c r="G1407" s="40"/>
    </row>
    <row r="1408" spans="2:23" ht="18.75" customHeight="1">
      <c r="C1408" s="119" t="s">
        <v>3188</v>
      </c>
      <c r="D1408" s="120"/>
      <c r="E1408" s="125" t="str">
        <f>エンティティ一覧!$O$2</f>
        <v>milscm_2023_007</v>
      </c>
      <c r="G1408" s="41"/>
    </row>
    <row r="1409" spans="2:23" ht="18.75" customHeight="1">
      <c r="C1409" s="121"/>
      <c r="D1409" s="122"/>
      <c r="E1409" s="126"/>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27" t="str">
        <f>R1417&amp;"登録"</f>
        <v>バックアップ_経過記録情報モジュール_経過記録情報レコード登録</v>
      </c>
      <c r="D1414" s="128"/>
      <c r="E1414" s="128"/>
      <c r="F1414" s="128"/>
      <c r="G1414" s="128"/>
      <c r="H1414" s="128"/>
      <c r="I1414" s="128"/>
      <c r="J1414" s="128"/>
      <c r="K1414" s="128"/>
      <c r="L1414" s="128"/>
      <c r="M1414" s="128"/>
      <c r="N1414" s="128"/>
      <c r="O1414" s="128"/>
      <c r="P1414" s="128"/>
      <c r="Q1414" s="128"/>
      <c r="R1414" s="128"/>
      <c r="S1414" s="128"/>
      <c r="T1414" s="128"/>
      <c r="U1414" s="129"/>
      <c r="W1414" s="35" t="str">
        <f>"-- "&amp;C1414</f>
        <v>-- バックアップ_経過記録情報モジュール_経過記録情報レコード登録</v>
      </c>
    </row>
    <row r="1415" spans="2:23" ht="18.75" customHeight="1">
      <c r="B1415" s="43" t="s">
        <v>159</v>
      </c>
      <c r="C1415" s="116"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17"/>
      <c r="E1415" s="117"/>
      <c r="F1415" s="117"/>
      <c r="G1415" s="117"/>
      <c r="H1415" s="117"/>
      <c r="I1415" s="117"/>
      <c r="J1415" s="117"/>
      <c r="K1415" s="117"/>
      <c r="L1415" s="117"/>
      <c r="M1415" s="117"/>
      <c r="N1415" s="117"/>
      <c r="O1415" s="117"/>
      <c r="P1415" s="117"/>
      <c r="Q1415" s="117"/>
      <c r="R1415" s="117"/>
      <c r="S1415" s="117"/>
      <c r="T1415" s="117"/>
      <c r="U1415" s="118"/>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19" t="s">
        <v>3454</v>
      </c>
      <c r="D1417" s="120"/>
      <c r="E1417" s="123" t="s">
        <v>162</v>
      </c>
      <c r="H1417" s="36"/>
      <c r="I1417" s="36"/>
      <c r="J1417" s="36"/>
      <c r="K1417" s="36"/>
      <c r="L1417" s="36"/>
      <c r="M1417" s="36"/>
      <c r="N1417" s="36"/>
      <c r="O1417" s="36"/>
      <c r="P1417" s="36"/>
      <c r="Q1417" s="36"/>
      <c r="R1417" s="138" t="str">
        <f>"バックアップ_"&amp;SUBSTITUTE(C1417,"_結合","")</f>
        <v>バックアップ_経過記録情報モジュール_経過記録情報レコード</v>
      </c>
      <c r="S1417" s="139"/>
      <c r="T1417" s="125" t="str">
        <f>エンティティ一覧!$O$2</f>
        <v>milscm_2023_007</v>
      </c>
    </row>
    <row r="1418" spans="2:23" ht="18.75" customHeight="1">
      <c r="C1418" s="121"/>
      <c r="D1418" s="122"/>
      <c r="E1418" s="124"/>
      <c r="F1418" s="37"/>
      <c r="G1418" s="38"/>
      <c r="H1418" s="37"/>
      <c r="I1418" s="37"/>
      <c r="J1418" s="37"/>
      <c r="K1418" s="37"/>
      <c r="L1418" s="37"/>
      <c r="M1418" s="37"/>
      <c r="N1418" s="37"/>
      <c r="O1418" s="37"/>
      <c r="P1418" s="37"/>
      <c r="Q1418" s="37"/>
      <c r="R1418" s="140"/>
      <c r="S1418" s="141"/>
      <c r="T1418" s="126"/>
    </row>
    <row r="1419" spans="2:23" ht="18.75" customHeight="1">
      <c r="F1419" s="39"/>
      <c r="G1419" s="40"/>
    </row>
    <row r="1420" spans="2:23" ht="18.75" customHeight="1">
      <c r="C1420" s="119" t="s">
        <v>3188</v>
      </c>
      <c r="D1420" s="120"/>
      <c r="E1420" s="125" t="str">
        <f>エンティティ一覧!$O$2</f>
        <v>milscm_2023_007</v>
      </c>
      <c r="G1420" s="41"/>
    </row>
    <row r="1421" spans="2:23" ht="18.75" customHeight="1">
      <c r="C1421" s="121"/>
      <c r="D1421" s="122"/>
      <c r="E1421" s="126"/>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27" t="str">
        <f>R1429&amp;"登録"</f>
        <v>バックアップ_経過記録情報モジュール_プロブレムレコード登録</v>
      </c>
      <c r="D1426" s="128"/>
      <c r="E1426" s="128"/>
      <c r="F1426" s="128"/>
      <c r="G1426" s="128"/>
      <c r="H1426" s="128"/>
      <c r="I1426" s="128"/>
      <c r="J1426" s="128"/>
      <c r="K1426" s="128"/>
      <c r="L1426" s="128"/>
      <c r="M1426" s="128"/>
      <c r="N1426" s="128"/>
      <c r="O1426" s="128"/>
      <c r="P1426" s="128"/>
      <c r="Q1426" s="128"/>
      <c r="R1426" s="128"/>
      <c r="S1426" s="128"/>
      <c r="T1426" s="128"/>
      <c r="U1426" s="129"/>
      <c r="W1426" s="35" t="str">
        <f>"-- "&amp;C1426</f>
        <v>-- バックアップ_経過記録情報モジュール_プロブレムレコード登録</v>
      </c>
    </row>
    <row r="1427" spans="2:23" ht="18.75" customHeight="1">
      <c r="B1427" s="43" t="s">
        <v>159</v>
      </c>
      <c r="C1427" s="116"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17"/>
      <c r="E1427" s="117"/>
      <c r="F1427" s="117"/>
      <c r="G1427" s="117"/>
      <c r="H1427" s="117"/>
      <c r="I1427" s="117"/>
      <c r="J1427" s="117"/>
      <c r="K1427" s="117"/>
      <c r="L1427" s="117"/>
      <c r="M1427" s="117"/>
      <c r="N1427" s="117"/>
      <c r="O1427" s="117"/>
      <c r="P1427" s="117"/>
      <c r="Q1427" s="117"/>
      <c r="R1427" s="117"/>
      <c r="S1427" s="117"/>
      <c r="T1427" s="117"/>
      <c r="U1427" s="118"/>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19" t="s">
        <v>3456</v>
      </c>
      <c r="D1429" s="120"/>
      <c r="E1429" s="123" t="s">
        <v>162</v>
      </c>
      <c r="H1429" s="36"/>
      <c r="I1429" s="36"/>
      <c r="J1429" s="36"/>
      <c r="K1429" s="36"/>
      <c r="L1429" s="36"/>
      <c r="M1429" s="36"/>
      <c r="N1429" s="36"/>
      <c r="O1429" s="36"/>
      <c r="P1429" s="36"/>
      <c r="Q1429" s="36"/>
      <c r="R1429" s="138" t="str">
        <f>"バックアップ_"&amp;SUBSTITUTE(C1429,"_結合","")</f>
        <v>バックアップ_経過記録情報モジュール_プロブレムレコード</v>
      </c>
      <c r="S1429" s="139"/>
      <c r="T1429" s="125" t="str">
        <f>エンティティ一覧!$O$2</f>
        <v>milscm_2023_007</v>
      </c>
    </row>
    <row r="1430" spans="2:23" ht="18.75" customHeight="1">
      <c r="C1430" s="121"/>
      <c r="D1430" s="122"/>
      <c r="E1430" s="124"/>
      <c r="F1430" s="37"/>
      <c r="G1430" s="38"/>
      <c r="H1430" s="37"/>
      <c r="I1430" s="37"/>
      <c r="J1430" s="37"/>
      <c r="K1430" s="37"/>
      <c r="L1430" s="37"/>
      <c r="M1430" s="37"/>
      <c r="N1430" s="37"/>
      <c r="O1430" s="37"/>
      <c r="P1430" s="37"/>
      <c r="Q1430" s="37"/>
      <c r="R1430" s="140"/>
      <c r="S1430" s="141"/>
      <c r="T1430" s="126"/>
    </row>
    <row r="1431" spans="2:23" ht="18.75" customHeight="1">
      <c r="F1431" s="39"/>
      <c r="G1431" s="40"/>
    </row>
    <row r="1432" spans="2:23" ht="18.75" customHeight="1">
      <c r="C1432" s="119" t="s">
        <v>3188</v>
      </c>
      <c r="D1432" s="120"/>
      <c r="E1432" s="125" t="str">
        <f>エンティティ一覧!$O$2</f>
        <v>milscm_2023_007</v>
      </c>
      <c r="G1432" s="41"/>
    </row>
    <row r="1433" spans="2:23" ht="18.75" customHeight="1">
      <c r="C1433" s="121"/>
      <c r="D1433" s="122"/>
      <c r="E1433" s="126"/>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27" t="str">
        <f>R1441&amp;"登録"</f>
        <v>バックアップ_経過記録情報モジュール_身体所見レコード登録</v>
      </c>
      <c r="D1438" s="128"/>
      <c r="E1438" s="128"/>
      <c r="F1438" s="128"/>
      <c r="G1438" s="128"/>
      <c r="H1438" s="128"/>
      <c r="I1438" s="128"/>
      <c r="J1438" s="128"/>
      <c r="K1438" s="128"/>
      <c r="L1438" s="128"/>
      <c r="M1438" s="128"/>
      <c r="N1438" s="128"/>
      <c r="O1438" s="128"/>
      <c r="P1438" s="128"/>
      <c r="Q1438" s="128"/>
      <c r="R1438" s="128"/>
      <c r="S1438" s="128"/>
      <c r="T1438" s="128"/>
      <c r="U1438" s="129"/>
      <c r="W1438" s="35" t="str">
        <f>"-- "&amp;C1438</f>
        <v>-- バックアップ_経過記録情報モジュール_身体所見レコード登録</v>
      </c>
    </row>
    <row r="1439" spans="2:23" ht="18.75" customHeight="1">
      <c r="B1439" s="43" t="s">
        <v>159</v>
      </c>
      <c r="C1439" s="116"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17"/>
      <c r="E1439" s="117"/>
      <c r="F1439" s="117"/>
      <c r="G1439" s="117"/>
      <c r="H1439" s="117"/>
      <c r="I1439" s="117"/>
      <c r="J1439" s="117"/>
      <c r="K1439" s="117"/>
      <c r="L1439" s="117"/>
      <c r="M1439" s="117"/>
      <c r="N1439" s="117"/>
      <c r="O1439" s="117"/>
      <c r="P1439" s="117"/>
      <c r="Q1439" s="117"/>
      <c r="R1439" s="117"/>
      <c r="S1439" s="117"/>
      <c r="T1439" s="117"/>
      <c r="U1439" s="118"/>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19" t="s">
        <v>3458</v>
      </c>
      <c r="D1441" s="120"/>
      <c r="E1441" s="123" t="s">
        <v>162</v>
      </c>
      <c r="H1441" s="36"/>
      <c r="I1441" s="36"/>
      <c r="J1441" s="36"/>
      <c r="K1441" s="36"/>
      <c r="L1441" s="36"/>
      <c r="M1441" s="36"/>
      <c r="N1441" s="36"/>
      <c r="O1441" s="36"/>
      <c r="P1441" s="36"/>
      <c r="Q1441" s="36"/>
      <c r="R1441" s="138" t="str">
        <f>"バックアップ_"&amp;SUBSTITUTE(C1441,"_結合","")</f>
        <v>バックアップ_経過記録情報モジュール_身体所見レコード</v>
      </c>
      <c r="S1441" s="139"/>
      <c r="T1441" s="125" t="str">
        <f>エンティティ一覧!$O$2</f>
        <v>milscm_2023_007</v>
      </c>
    </row>
    <row r="1442" spans="2:23" ht="18.75" customHeight="1">
      <c r="C1442" s="121"/>
      <c r="D1442" s="122"/>
      <c r="E1442" s="124"/>
      <c r="F1442" s="37"/>
      <c r="G1442" s="38"/>
      <c r="H1442" s="37"/>
      <c r="I1442" s="37"/>
      <c r="J1442" s="37"/>
      <c r="K1442" s="37"/>
      <c r="L1442" s="37"/>
      <c r="M1442" s="37"/>
      <c r="N1442" s="37"/>
      <c r="O1442" s="37"/>
      <c r="P1442" s="37"/>
      <c r="Q1442" s="37"/>
      <c r="R1442" s="140"/>
      <c r="S1442" s="141"/>
      <c r="T1442" s="126"/>
    </row>
    <row r="1443" spans="2:23" ht="18.75" customHeight="1">
      <c r="F1443" s="39"/>
      <c r="G1443" s="40"/>
    </row>
    <row r="1444" spans="2:23" ht="18.75" customHeight="1">
      <c r="C1444" s="119" t="s">
        <v>3188</v>
      </c>
      <c r="D1444" s="120"/>
      <c r="E1444" s="125" t="str">
        <f>エンティティ一覧!$O$2</f>
        <v>milscm_2023_007</v>
      </c>
      <c r="G1444" s="41"/>
    </row>
    <row r="1445" spans="2:23" ht="18.75" customHeight="1">
      <c r="C1445" s="121"/>
      <c r="D1445" s="122"/>
      <c r="E1445" s="126"/>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27" t="str">
        <f>R1453&amp;"登録"</f>
        <v>バックアップ_経過記録情報モジュール_アセスメントレコード登録</v>
      </c>
      <c r="D1450" s="128"/>
      <c r="E1450" s="128"/>
      <c r="F1450" s="128"/>
      <c r="G1450" s="128"/>
      <c r="H1450" s="128"/>
      <c r="I1450" s="128"/>
      <c r="J1450" s="128"/>
      <c r="K1450" s="128"/>
      <c r="L1450" s="128"/>
      <c r="M1450" s="128"/>
      <c r="N1450" s="128"/>
      <c r="O1450" s="128"/>
      <c r="P1450" s="128"/>
      <c r="Q1450" s="128"/>
      <c r="R1450" s="128"/>
      <c r="S1450" s="128"/>
      <c r="T1450" s="128"/>
      <c r="U1450" s="129"/>
      <c r="W1450" s="35" t="str">
        <f>"-- "&amp;C1450</f>
        <v>-- バックアップ_経過記録情報モジュール_アセスメントレコード登録</v>
      </c>
    </row>
    <row r="1451" spans="2:23" ht="18.75" customHeight="1">
      <c r="B1451" s="43" t="s">
        <v>159</v>
      </c>
      <c r="C1451" s="116"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17"/>
      <c r="E1451" s="117"/>
      <c r="F1451" s="117"/>
      <c r="G1451" s="117"/>
      <c r="H1451" s="117"/>
      <c r="I1451" s="117"/>
      <c r="J1451" s="117"/>
      <c r="K1451" s="117"/>
      <c r="L1451" s="117"/>
      <c r="M1451" s="117"/>
      <c r="N1451" s="117"/>
      <c r="O1451" s="117"/>
      <c r="P1451" s="117"/>
      <c r="Q1451" s="117"/>
      <c r="R1451" s="117"/>
      <c r="S1451" s="117"/>
      <c r="T1451" s="117"/>
      <c r="U1451" s="118"/>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19" t="s">
        <v>3460</v>
      </c>
      <c r="D1453" s="120"/>
      <c r="E1453" s="123" t="s">
        <v>162</v>
      </c>
      <c r="H1453" s="36"/>
      <c r="I1453" s="36"/>
      <c r="J1453" s="36"/>
      <c r="K1453" s="36"/>
      <c r="L1453" s="36"/>
      <c r="M1453" s="36"/>
      <c r="N1453" s="36"/>
      <c r="O1453" s="36"/>
      <c r="P1453" s="36"/>
      <c r="Q1453" s="36"/>
      <c r="R1453" s="138" t="str">
        <f>"バックアップ_"&amp;SUBSTITUTE(C1453,"_結合","")</f>
        <v>バックアップ_経過記録情報モジュール_アセスメントレコード</v>
      </c>
      <c r="S1453" s="139"/>
      <c r="T1453" s="125" t="str">
        <f>エンティティ一覧!$O$2</f>
        <v>milscm_2023_007</v>
      </c>
    </row>
    <row r="1454" spans="2:23" ht="18.75" customHeight="1">
      <c r="C1454" s="121"/>
      <c r="D1454" s="122"/>
      <c r="E1454" s="124"/>
      <c r="F1454" s="37"/>
      <c r="G1454" s="38"/>
      <c r="H1454" s="37"/>
      <c r="I1454" s="37"/>
      <c r="J1454" s="37"/>
      <c r="K1454" s="37"/>
      <c r="L1454" s="37"/>
      <c r="M1454" s="37"/>
      <c r="N1454" s="37"/>
      <c r="O1454" s="37"/>
      <c r="P1454" s="37"/>
      <c r="Q1454" s="37"/>
      <c r="R1454" s="140"/>
      <c r="S1454" s="141"/>
      <c r="T1454" s="126"/>
    </row>
    <row r="1455" spans="2:23" ht="18.75" customHeight="1">
      <c r="F1455" s="39"/>
      <c r="G1455" s="40"/>
    </row>
    <row r="1456" spans="2:23" ht="18.75" customHeight="1">
      <c r="C1456" s="119" t="s">
        <v>3188</v>
      </c>
      <c r="D1456" s="120"/>
      <c r="E1456" s="125" t="str">
        <f>エンティティ一覧!$O$2</f>
        <v>milscm_2023_007</v>
      </c>
      <c r="G1456" s="41"/>
    </row>
    <row r="1457" spans="2:23" ht="18.75" customHeight="1">
      <c r="C1457" s="121"/>
      <c r="D1457" s="122"/>
      <c r="E1457" s="126"/>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27" t="str">
        <f>R1465&amp;"登録"</f>
        <v>バックアップ_経過記録情報モジュール_外部参照レコード登録</v>
      </c>
      <c r="D1462" s="128"/>
      <c r="E1462" s="128"/>
      <c r="F1462" s="128"/>
      <c r="G1462" s="128"/>
      <c r="H1462" s="128"/>
      <c r="I1462" s="128"/>
      <c r="J1462" s="128"/>
      <c r="K1462" s="128"/>
      <c r="L1462" s="128"/>
      <c r="M1462" s="128"/>
      <c r="N1462" s="128"/>
      <c r="O1462" s="128"/>
      <c r="P1462" s="128"/>
      <c r="Q1462" s="128"/>
      <c r="R1462" s="128"/>
      <c r="S1462" s="128"/>
      <c r="T1462" s="128"/>
      <c r="U1462" s="129"/>
      <c r="W1462" s="35" t="str">
        <f>"-- "&amp;C1462</f>
        <v>-- バックアップ_経過記録情報モジュール_外部参照レコード登録</v>
      </c>
    </row>
    <row r="1463" spans="2:23" ht="18.75" customHeight="1">
      <c r="B1463" s="43" t="s">
        <v>159</v>
      </c>
      <c r="C1463" s="116"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17"/>
      <c r="E1463" s="117"/>
      <c r="F1463" s="117"/>
      <c r="G1463" s="117"/>
      <c r="H1463" s="117"/>
      <c r="I1463" s="117"/>
      <c r="J1463" s="117"/>
      <c r="K1463" s="117"/>
      <c r="L1463" s="117"/>
      <c r="M1463" s="117"/>
      <c r="N1463" s="117"/>
      <c r="O1463" s="117"/>
      <c r="P1463" s="117"/>
      <c r="Q1463" s="117"/>
      <c r="R1463" s="117"/>
      <c r="S1463" s="117"/>
      <c r="T1463" s="117"/>
      <c r="U1463" s="118"/>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19" t="s">
        <v>3462</v>
      </c>
      <c r="D1465" s="120"/>
      <c r="E1465" s="123" t="s">
        <v>162</v>
      </c>
      <c r="H1465" s="36"/>
      <c r="I1465" s="36"/>
      <c r="J1465" s="36"/>
      <c r="K1465" s="36"/>
      <c r="L1465" s="36"/>
      <c r="M1465" s="36"/>
      <c r="N1465" s="36"/>
      <c r="O1465" s="36"/>
      <c r="P1465" s="36"/>
      <c r="Q1465" s="36"/>
      <c r="R1465" s="138" t="str">
        <f>"バックアップ_"&amp;SUBSTITUTE(C1465,"_結合","")</f>
        <v>バックアップ_経過記録情報モジュール_外部参照レコード</v>
      </c>
      <c r="S1465" s="139"/>
      <c r="T1465" s="125" t="str">
        <f>エンティティ一覧!$O$2</f>
        <v>milscm_2023_007</v>
      </c>
    </row>
    <row r="1466" spans="2:23" ht="18.75" customHeight="1">
      <c r="C1466" s="121"/>
      <c r="D1466" s="122"/>
      <c r="E1466" s="124"/>
      <c r="F1466" s="37"/>
      <c r="G1466" s="38"/>
      <c r="H1466" s="37"/>
      <c r="I1466" s="37"/>
      <c r="J1466" s="37"/>
      <c r="K1466" s="37"/>
      <c r="L1466" s="37"/>
      <c r="M1466" s="37"/>
      <c r="N1466" s="37"/>
      <c r="O1466" s="37"/>
      <c r="P1466" s="37"/>
      <c r="Q1466" s="37"/>
      <c r="R1466" s="140"/>
      <c r="S1466" s="141"/>
      <c r="T1466" s="126"/>
    </row>
    <row r="1467" spans="2:23" ht="18.75" customHeight="1">
      <c r="F1467" s="39"/>
      <c r="G1467" s="40"/>
    </row>
    <row r="1468" spans="2:23" ht="18.75" customHeight="1">
      <c r="C1468" s="119" t="s">
        <v>3188</v>
      </c>
      <c r="D1468" s="120"/>
      <c r="E1468" s="125" t="str">
        <f>エンティティ一覧!$O$2</f>
        <v>milscm_2023_007</v>
      </c>
      <c r="G1468" s="41"/>
    </row>
    <row r="1469" spans="2:23" ht="18.75" customHeight="1">
      <c r="C1469" s="121"/>
      <c r="D1469" s="122"/>
      <c r="E1469" s="126"/>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27" t="str">
        <f>R1477&amp;"登録"</f>
        <v>バックアップ_臨床サマリーモジュール_臨床サマリー情報レコード登録</v>
      </c>
      <c r="D1474" s="128"/>
      <c r="E1474" s="128"/>
      <c r="F1474" s="128"/>
      <c r="G1474" s="128"/>
      <c r="H1474" s="128"/>
      <c r="I1474" s="128"/>
      <c r="J1474" s="128"/>
      <c r="K1474" s="128"/>
      <c r="L1474" s="128"/>
      <c r="M1474" s="128"/>
      <c r="N1474" s="128"/>
      <c r="O1474" s="128"/>
      <c r="P1474" s="128"/>
      <c r="Q1474" s="128"/>
      <c r="R1474" s="128"/>
      <c r="S1474" s="128"/>
      <c r="T1474" s="128"/>
      <c r="U1474" s="129"/>
      <c r="W1474" s="35" t="str">
        <f>"-- "&amp;C1474</f>
        <v>-- バックアップ_臨床サマリーモジュール_臨床サマリー情報レコード登録</v>
      </c>
    </row>
    <row r="1475" spans="2:23" ht="18.75" customHeight="1">
      <c r="B1475" s="43" t="s">
        <v>159</v>
      </c>
      <c r="C1475" s="116"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17"/>
      <c r="E1475" s="117"/>
      <c r="F1475" s="117"/>
      <c r="G1475" s="117"/>
      <c r="H1475" s="117"/>
      <c r="I1475" s="117"/>
      <c r="J1475" s="117"/>
      <c r="K1475" s="117"/>
      <c r="L1475" s="117"/>
      <c r="M1475" s="117"/>
      <c r="N1475" s="117"/>
      <c r="O1475" s="117"/>
      <c r="P1475" s="117"/>
      <c r="Q1475" s="117"/>
      <c r="R1475" s="117"/>
      <c r="S1475" s="117"/>
      <c r="T1475" s="117"/>
      <c r="U1475" s="118"/>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30" t="s">
        <v>3464</v>
      </c>
      <c r="D1477" s="131"/>
      <c r="E1477" s="123" t="s">
        <v>162</v>
      </c>
      <c r="H1477" s="36"/>
      <c r="I1477" s="36"/>
      <c r="J1477" s="36"/>
      <c r="K1477" s="36"/>
      <c r="L1477" s="36"/>
      <c r="M1477" s="36"/>
      <c r="N1477" s="36"/>
      <c r="O1477" s="36"/>
      <c r="P1477" s="36"/>
      <c r="Q1477" s="36"/>
      <c r="R1477" s="134" t="str">
        <f>"バックアップ_"&amp;SUBSTITUTE(C1477,"_結合","")</f>
        <v>バックアップ_臨床サマリーモジュール_臨床サマリー情報レコード</v>
      </c>
      <c r="S1477" s="135"/>
      <c r="T1477" s="125" t="str">
        <f>エンティティ一覧!$O$2</f>
        <v>milscm_2023_007</v>
      </c>
    </row>
    <row r="1478" spans="2:23" ht="18.75" customHeight="1">
      <c r="C1478" s="132"/>
      <c r="D1478" s="133"/>
      <c r="E1478" s="124"/>
      <c r="F1478" s="37"/>
      <c r="G1478" s="38"/>
      <c r="H1478" s="37"/>
      <c r="I1478" s="37"/>
      <c r="J1478" s="37"/>
      <c r="K1478" s="37"/>
      <c r="L1478" s="37"/>
      <c r="M1478" s="37"/>
      <c r="N1478" s="37"/>
      <c r="O1478" s="37"/>
      <c r="P1478" s="37"/>
      <c r="Q1478" s="37"/>
      <c r="R1478" s="136"/>
      <c r="S1478" s="137"/>
      <c r="T1478" s="126"/>
    </row>
    <row r="1479" spans="2:23" ht="18.75" customHeight="1">
      <c r="F1479" s="39"/>
      <c r="G1479" s="40"/>
    </row>
    <row r="1480" spans="2:23" ht="18.75" customHeight="1">
      <c r="C1480" s="119" t="s">
        <v>3188</v>
      </c>
      <c r="D1480" s="120"/>
      <c r="E1480" s="125" t="str">
        <f>エンティティ一覧!$O$2</f>
        <v>milscm_2023_007</v>
      </c>
      <c r="G1480" s="41"/>
    </row>
    <row r="1481" spans="2:23" ht="18.75" customHeight="1">
      <c r="C1481" s="121"/>
      <c r="D1481" s="122"/>
      <c r="E1481" s="126"/>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27" t="str">
        <f>R1489&amp;"登録"</f>
        <v>バックアップ_臨床サマリーモジュール_外来受診レコード登録</v>
      </c>
      <c r="D1486" s="128"/>
      <c r="E1486" s="128"/>
      <c r="F1486" s="128"/>
      <c r="G1486" s="128"/>
      <c r="H1486" s="128"/>
      <c r="I1486" s="128"/>
      <c r="J1486" s="128"/>
      <c r="K1486" s="128"/>
      <c r="L1486" s="128"/>
      <c r="M1486" s="128"/>
      <c r="N1486" s="128"/>
      <c r="O1486" s="128"/>
      <c r="P1486" s="128"/>
      <c r="Q1486" s="128"/>
      <c r="R1486" s="128"/>
      <c r="S1486" s="128"/>
      <c r="T1486" s="128"/>
      <c r="U1486" s="129"/>
      <c r="W1486" s="35" t="str">
        <f>"-- "&amp;C1486</f>
        <v>-- バックアップ_臨床サマリーモジュール_外来受診レコード登録</v>
      </c>
    </row>
    <row r="1487" spans="2:23" ht="18.75" customHeight="1">
      <c r="B1487" s="43" t="s">
        <v>159</v>
      </c>
      <c r="C1487" s="116"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17"/>
      <c r="E1487" s="117"/>
      <c r="F1487" s="117"/>
      <c r="G1487" s="117"/>
      <c r="H1487" s="117"/>
      <c r="I1487" s="117"/>
      <c r="J1487" s="117"/>
      <c r="K1487" s="117"/>
      <c r="L1487" s="117"/>
      <c r="M1487" s="117"/>
      <c r="N1487" s="117"/>
      <c r="O1487" s="117"/>
      <c r="P1487" s="117"/>
      <c r="Q1487" s="117"/>
      <c r="R1487" s="117"/>
      <c r="S1487" s="117"/>
      <c r="T1487" s="117"/>
      <c r="U1487" s="118"/>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19" t="s">
        <v>3466</v>
      </c>
      <c r="D1489" s="120"/>
      <c r="E1489" s="123" t="s">
        <v>162</v>
      </c>
      <c r="H1489" s="36"/>
      <c r="I1489" s="36"/>
      <c r="J1489" s="36"/>
      <c r="K1489" s="36"/>
      <c r="L1489" s="36"/>
      <c r="M1489" s="36"/>
      <c r="N1489" s="36"/>
      <c r="O1489" s="36"/>
      <c r="P1489" s="36"/>
      <c r="Q1489" s="36"/>
      <c r="R1489" s="138" t="str">
        <f>"バックアップ_"&amp;SUBSTITUTE(C1489,"_結合","")</f>
        <v>バックアップ_臨床サマリーモジュール_外来受診レコード</v>
      </c>
      <c r="S1489" s="139"/>
      <c r="T1489" s="125" t="str">
        <f>エンティティ一覧!$O$2</f>
        <v>milscm_2023_007</v>
      </c>
    </row>
    <row r="1490" spans="2:23" ht="18.75" customHeight="1">
      <c r="C1490" s="121"/>
      <c r="D1490" s="122"/>
      <c r="E1490" s="124"/>
      <c r="F1490" s="37"/>
      <c r="G1490" s="38"/>
      <c r="H1490" s="37"/>
      <c r="I1490" s="37"/>
      <c r="J1490" s="37"/>
      <c r="K1490" s="37"/>
      <c r="L1490" s="37"/>
      <c r="M1490" s="37"/>
      <c r="N1490" s="37"/>
      <c r="O1490" s="37"/>
      <c r="P1490" s="37"/>
      <c r="Q1490" s="37"/>
      <c r="R1490" s="140"/>
      <c r="S1490" s="141"/>
      <c r="T1490" s="126"/>
    </row>
    <row r="1491" spans="2:23" ht="18.75" customHeight="1">
      <c r="F1491" s="39"/>
      <c r="G1491" s="40"/>
    </row>
    <row r="1492" spans="2:23" ht="18.75" customHeight="1">
      <c r="C1492" s="119" t="s">
        <v>3188</v>
      </c>
      <c r="D1492" s="120"/>
      <c r="E1492" s="125" t="str">
        <f>エンティティ一覧!$O$2</f>
        <v>milscm_2023_007</v>
      </c>
      <c r="G1492" s="41"/>
    </row>
    <row r="1493" spans="2:23" ht="18.75" customHeight="1">
      <c r="C1493" s="121"/>
      <c r="D1493" s="122"/>
      <c r="E1493" s="126"/>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27" t="str">
        <f>R1501&amp;"登録"</f>
        <v>バックアップ_臨床サマリーモジュール_入院レコード登録</v>
      </c>
      <c r="D1498" s="128"/>
      <c r="E1498" s="128"/>
      <c r="F1498" s="128"/>
      <c r="G1498" s="128"/>
      <c r="H1498" s="128"/>
      <c r="I1498" s="128"/>
      <c r="J1498" s="128"/>
      <c r="K1498" s="128"/>
      <c r="L1498" s="128"/>
      <c r="M1498" s="128"/>
      <c r="N1498" s="128"/>
      <c r="O1498" s="128"/>
      <c r="P1498" s="128"/>
      <c r="Q1498" s="128"/>
      <c r="R1498" s="128"/>
      <c r="S1498" s="128"/>
      <c r="T1498" s="128"/>
      <c r="U1498" s="129"/>
      <c r="W1498" s="35" t="str">
        <f>"-- "&amp;C1498</f>
        <v>-- バックアップ_臨床サマリーモジュール_入院レコード登録</v>
      </c>
    </row>
    <row r="1499" spans="2:23" ht="18.75" customHeight="1">
      <c r="B1499" s="43" t="s">
        <v>159</v>
      </c>
      <c r="C1499" s="116"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17"/>
      <c r="E1499" s="117"/>
      <c r="F1499" s="117"/>
      <c r="G1499" s="117"/>
      <c r="H1499" s="117"/>
      <c r="I1499" s="117"/>
      <c r="J1499" s="117"/>
      <c r="K1499" s="117"/>
      <c r="L1499" s="117"/>
      <c r="M1499" s="117"/>
      <c r="N1499" s="117"/>
      <c r="O1499" s="117"/>
      <c r="P1499" s="117"/>
      <c r="Q1499" s="117"/>
      <c r="R1499" s="117"/>
      <c r="S1499" s="117"/>
      <c r="T1499" s="117"/>
      <c r="U1499" s="118"/>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19" t="s">
        <v>3468</v>
      </c>
      <c r="D1501" s="120"/>
      <c r="E1501" s="123" t="s">
        <v>162</v>
      </c>
      <c r="H1501" s="36"/>
      <c r="I1501" s="36"/>
      <c r="J1501" s="36"/>
      <c r="K1501" s="36"/>
      <c r="L1501" s="36"/>
      <c r="M1501" s="36"/>
      <c r="N1501" s="36"/>
      <c r="O1501" s="36"/>
      <c r="P1501" s="36"/>
      <c r="Q1501" s="36"/>
      <c r="R1501" s="138" t="str">
        <f>"バックアップ_"&amp;SUBSTITUTE(C1501,"_結合","")</f>
        <v>バックアップ_臨床サマリーモジュール_入院レコード</v>
      </c>
      <c r="S1501" s="139"/>
      <c r="T1501" s="125" t="str">
        <f>エンティティ一覧!$O$2</f>
        <v>milscm_2023_007</v>
      </c>
    </row>
    <row r="1502" spans="2:23" ht="18.75" customHeight="1">
      <c r="C1502" s="121"/>
      <c r="D1502" s="122"/>
      <c r="E1502" s="124"/>
      <c r="F1502" s="37"/>
      <c r="G1502" s="38"/>
      <c r="H1502" s="37"/>
      <c r="I1502" s="37"/>
      <c r="J1502" s="37"/>
      <c r="K1502" s="37"/>
      <c r="L1502" s="37"/>
      <c r="M1502" s="37"/>
      <c r="N1502" s="37"/>
      <c r="O1502" s="37"/>
      <c r="P1502" s="37"/>
      <c r="Q1502" s="37"/>
      <c r="R1502" s="140"/>
      <c r="S1502" s="141"/>
      <c r="T1502" s="126"/>
    </row>
    <row r="1503" spans="2:23" ht="18.75" customHeight="1">
      <c r="F1503" s="39"/>
      <c r="G1503" s="40"/>
    </row>
    <row r="1504" spans="2:23" ht="18.75" customHeight="1">
      <c r="C1504" s="119" t="s">
        <v>3188</v>
      </c>
      <c r="D1504" s="120"/>
      <c r="E1504" s="125" t="str">
        <f>エンティティ一覧!$O$2</f>
        <v>milscm_2023_007</v>
      </c>
      <c r="G1504" s="41"/>
    </row>
    <row r="1505" spans="2:23" ht="18.75" customHeight="1">
      <c r="C1505" s="121"/>
      <c r="D1505" s="122"/>
      <c r="E1505" s="126"/>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27" t="str">
        <f>R1513&amp;"登録"</f>
        <v>バックアップ_臨床サマリーモジュール_経過記録レコード登録</v>
      </c>
      <c r="D1510" s="128"/>
      <c r="E1510" s="128"/>
      <c r="F1510" s="128"/>
      <c r="G1510" s="128"/>
      <c r="H1510" s="128"/>
      <c r="I1510" s="128"/>
      <c r="J1510" s="128"/>
      <c r="K1510" s="128"/>
      <c r="L1510" s="128"/>
      <c r="M1510" s="128"/>
      <c r="N1510" s="128"/>
      <c r="O1510" s="128"/>
      <c r="P1510" s="128"/>
      <c r="Q1510" s="128"/>
      <c r="R1510" s="128"/>
      <c r="S1510" s="128"/>
      <c r="T1510" s="128"/>
      <c r="U1510" s="129"/>
      <c r="W1510" s="35" t="str">
        <f>"-- "&amp;C1510</f>
        <v>-- バックアップ_臨床サマリーモジュール_経過記録レコード登録</v>
      </c>
    </row>
    <row r="1511" spans="2:23" ht="18.75" customHeight="1">
      <c r="B1511" s="43" t="s">
        <v>159</v>
      </c>
      <c r="C1511" s="116"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17"/>
      <c r="E1511" s="117"/>
      <c r="F1511" s="117"/>
      <c r="G1511" s="117"/>
      <c r="H1511" s="117"/>
      <c r="I1511" s="117"/>
      <c r="J1511" s="117"/>
      <c r="K1511" s="117"/>
      <c r="L1511" s="117"/>
      <c r="M1511" s="117"/>
      <c r="N1511" s="117"/>
      <c r="O1511" s="117"/>
      <c r="P1511" s="117"/>
      <c r="Q1511" s="117"/>
      <c r="R1511" s="117"/>
      <c r="S1511" s="117"/>
      <c r="T1511" s="117"/>
      <c r="U1511" s="118"/>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19" t="s">
        <v>3470</v>
      </c>
      <c r="D1513" s="120"/>
      <c r="E1513" s="123" t="s">
        <v>162</v>
      </c>
      <c r="H1513" s="36"/>
      <c r="I1513" s="36"/>
      <c r="J1513" s="36"/>
      <c r="K1513" s="36"/>
      <c r="L1513" s="36"/>
      <c r="M1513" s="36"/>
      <c r="N1513" s="36"/>
      <c r="O1513" s="36"/>
      <c r="P1513" s="36"/>
      <c r="Q1513" s="36"/>
      <c r="R1513" s="138" t="str">
        <f>"バックアップ_"&amp;SUBSTITUTE(C1513,"_結合","")</f>
        <v>バックアップ_臨床サマリーモジュール_経過記録レコード</v>
      </c>
      <c r="S1513" s="139"/>
      <c r="T1513" s="125" t="str">
        <f>エンティティ一覧!$O$2</f>
        <v>milscm_2023_007</v>
      </c>
    </row>
    <row r="1514" spans="2:23" ht="18.75" customHeight="1">
      <c r="C1514" s="121"/>
      <c r="D1514" s="122"/>
      <c r="E1514" s="124"/>
      <c r="F1514" s="37"/>
      <c r="G1514" s="38"/>
      <c r="H1514" s="37"/>
      <c r="I1514" s="37"/>
      <c r="J1514" s="37"/>
      <c r="K1514" s="37"/>
      <c r="L1514" s="37"/>
      <c r="M1514" s="37"/>
      <c r="N1514" s="37"/>
      <c r="O1514" s="37"/>
      <c r="P1514" s="37"/>
      <c r="Q1514" s="37"/>
      <c r="R1514" s="140"/>
      <c r="S1514" s="141"/>
      <c r="T1514" s="126"/>
    </row>
    <row r="1515" spans="2:23" ht="18.75" customHeight="1">
      <c r="F1515" s="39"/>
      <c r="G1515" s="40"/>
    </row>
    <row r="1516" spans="2:23" ht="18.75" customHeight="1">
      <c r="C1516" s="119" t="s">
        <v>3188</v>
      </c>
      <c r="D1516" s="120"/>
      <c r="E1516" s="125" t="str">
        <f>エンティティ一覧!$O$2</f>
        <v>milscm_2023_007</v>
      </c>
      <c r="G1516" s="41"/>
    </row>
    <row r="1517" spans="2:23" ht="18.75" customHeight="1">
      <c r="C1517" s="121"/>
      <c r="D1517" s="122"/>
      <c r="E1517" s="126"/>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27" t="str">
        <f>R1525&amp;"登録"</f>
        <v>バックアップ_臨床サマリーモジュール_検査結果レコード登録</v>
      </c>
      <c r="D1522" s="128"/>
      <c r="E1522" s="128"/>
      <c r="F1522" s="128"/>
      <c r="G1522" s="128"/>
      <c r="H1522" s="128"/>
      <c r="I1522" s="128"/>
      <c r="J1522" s="128"/>
      <c r="K1522" s="128"/>
      <c r="L1522" s="128"/>
      <c r="M1522" s="128"/>
      <c r="N1522" s="128"/>
      <c r="O1522" s="128"/>
      <c r="P1522" s="128"/>
      <c r="Q1522" s="128"/>
      <c r="R1522" s="128"/>
      <c r="S1522" s="128"/>
      <c r="T1522" s="128"/>
      <c r="U1522" s="129"/>
      <c r="W1522" s="35" t="str">
        <f>"-- "&amp;C1522</f>
        <v>-- バックアップ_臨床サマリーモジュール_検査結果レコード登録</v>
      </c>
    </row>
    <row r="1523" spans="2:23" ht="18.75" customHeight="1">
      <c r="B1523" s="43" t="s">
        <v>159</v>
      </c>
      <c r="C1523" s="116"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17"/>
      <c r="E1523" s="117"/>
      <c r="F1523" s="117"/>
      <c r="G1523" s="117"/>
      <c r="H1523" s="117"/>
      <c r="I1523" s="117"/>
      <c r="J1523" s="117"/>
      <c r="K1523" s="117"/>
      <c r="L1523" s="117"/>
      <c r="M1523" s="117"/>
      <c r="N1523" s="117"/>
      <c r="O1523" s="117"/>
      <c r="P1523" s="117"/>
      <c r="Q1523" s="117"/>
      <c r="R1523" s="117"/>
      <c r="S1523" s="117"/>
      <c r="T1523" s="117"/>
      <c r="U1523" s="118"/>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19" t="s">
        <v>3472</v>
      </c>
      <c r="D1525" s="120"/>
      <c r="E1525" s="123" t="s">
        <v>162</v>
      </c>
      <c r="H1525" s="36"/>
      <c r="I1525" s="36"/>
      <c r="J1525" s="36"/>
      <c r="K1525" s="36"/>
      <c r="L1525" s="36"/>
      <c r="M1525" s="36"/>
      <c r="N1525" s="36"/>
      <c r="O1525" s="36"/>
      <c r="P1525" s="36"/>
      <c r="Q1525" s="36"/>
      <c r="R1525" s="138" t="str">
        <f>"バックアップ_"&amp;SUBSTITUTE(C1525,"_結合","")</f>
        <v>バックアップ_臨床サマリーモジュール_検査結果レコード</v>
      </c>
      <c r="S1525" s="139"/>
      <c r="T1525" s="125" t="str">
        <f>エンティティ一覧!$O$2</f>
        <v>milscm_2023_007</v>
      </c>
    </row>
    <row r="1526" spans="2:23" ht="18.75" customHeight="1">
      <c r="C1526" s="121"/>
      <c r="D1526" s="122"/>
      <c r="E1526" s="124"/>
      <c r="F1526" s="37"/>
      <c r="G1526" s="38"/>
      <c r="H1526" s="37"/>
      <c r="I1526" s="37"/>
      <c r="J1526" s="37"/>
      <c r="K1526" s="37"/>
      <c r="L1526" s="37"/>
      <c r="M1526" s="37"/>
      <c r="N1526" s="37"/>
      <c r="O1526" s="37"/>
      <c r="P1526" s="37"/>
      <c r="Q1526" s="37"/>
      <c r="R1526" s="140"/>
      <c r="S1526" s="141"/>
      <c r="T1526" s="126"/>
    </row>
    <row r="1527" spans="2:23" ht="18.75" customHeight="1">
      <c r="F1527" s="39"/>
      <c r="G1527" s="40"/>
    </row>
    <row r="1528" spans="2:23" ht="18.75" customHeight="1">
      <c r="C1528" s="119" t="s">
        <v>3188</v>
      </c>
      <c r="D1528" s="120"/>
      <c r="E1528" s="125" t="str">
        <f>エンティティ一覧!$O$2</f>
        <v>milscm_2023_007</v>
      </c>
      <c r="G1528" s="41"/>
    </row>
    <row r="1529" spans="2:23" ht="18.75" customHeight="1">
      <c r="C1529" s="121"/>
      <c r="D1529" s="122"/>
      <c r="E1529" s="126"/>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27" t="str">
        <f>R1537&amp;"登録"</f>
        <v>バックアップ_検歴情報モジュール_検歴情報登録</v>
      </c>
      <c r="D1534" s="128"/>
      <c r="E1534" s="128"/>
      <c r="F1534" s="128"/>
      <c r="G1534" s="128"/>
      <c r="H1534" s="128"/>
      <c r="I1534" s="128"/>
      <c r="J1534" s="128"/>
      <c r="K1534" s="128"/>
      <c r="L1534" s="128"/>
      <c r="M1534" s="128"/>
      <c r="N1534" s="128"/>
      <c r="O1534" s="128"/>
      <c r="P1534" s="128"/>
      <c r="Q1534" s="128"/>
      <c r="R1534" s="128"/>
      <c r="S1534" s="128"/>
      <c r="T1534" s="128"/>
      <c r="U1534" s="129"/>
      <c r="W1534" s="35" t="str">
        <f>"-- "&amp;C1534</f>
        <v>-- バックアップ_検歴情報モジュール_検歴情報登録</v>
      </c>
    </row>
    <row r="1535" spans="2:23" ht="18.75" customHeight="1">
      <c r="B1535" s="43" t="s">
        <v>159</v>
      </c>
      <c r="C1535" s="116"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17"/>
      <c r="E1535" s="117"/>
      <c r="F1535" s="117"/>
      <c r="G1535" s="117"/>
      <c r="H1535" s="117"/>
      <c r="I1535" s="117"/>
      <c r="J1535" s="117"/>
      <c r="K1535" s="117"/>
      <c r="L1535" s="117"/>
      <c r="M1535" s="117"/>
      <c r="N1535" s="117"/>
      <c r="O1535" s="117"/>
      <c r="P1535" s="117"/>
      <c r="Q1535" s="117"/>
      <c r="R1535" s="117"/>
      <c r="S1535" s="117"/>
      <c r="T1535" s="117"/>
      <c r="U1535" s="118"/>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19" t="s">
        <v>3474</v>
      </c>
      <c r="D1537" s="120"/>
      <c r="E1537" s="123" t="s">
        <v>162</v>
      </c>
      <c r="H1537" s="36"/>
      <c r="I1537" s="36"/>
      <c r="J1537" s="36"/>
      <c r="K1537" s="36"/>
      <c r="L1537" s="36"/>
      <c r="M1537" s="36"/>
      <c r="N1537" s="36"/>
      <c r="O1537" s="36"/>
      <c r="P1537" s="36"/>
      <c r="Q1537" s="36"/>
      <c r="R1537" s="119" t="str">
        <f>"バックアップ_"&amp;SUBSTITUTE(C1537,"_結合","")</f>
        <v>バックアップ_検歴情報モジュール_検歴情報</v>
      </c>
      <c r="S1537" s="120"/>
      <c r="T1537" s="125" t="str">
        <f>エンティティ一覧!$O$2</f>
        <v>milscm_2023_007</v>
      </c>
    </row>
    <row r="1538" spans="2:23" ht="18.75" customHeight="1">
      <c r="C1538" s="121"/>
      <c r="D1538" s="122"/>
      <c r="E1538" s="124"/>
      <c r="F1538" s="37"/>
      <c r="G1538" s="38"/>
      <c r="H1538" s="37"/>
      <c r="I1538" s="37"/>
      <c r="J1538" s="37"/>
      <c r="K1538" s="37"/>
      <c r="L1538" s="37"/>
      <c r="M1538" s="37"/>
      <c r="N1538" s="37"/>
      <c r="O1538" s="37"/>
      <c r="P1538" s="37"/>
      <c r="Q1538" s="37"/>
      <c r="R1538" s="121"/>
      <c r="S1538" s="122"/>
      <c r="T1538" s="126"/>
    </row>
    <row r="1539" spans="2:23" ht="18.75" customHeight="1">
      <c r="F1539" s="39"/>
      <c r="G1539" s="40"/>
    </row>
    <row r="1540" spans="2:23" ht="18.75" customHeight="1">
      <c r="C1540" s="119" t="s">
        <v>3188</v>
      </c>
      <c r="D1540" s="120"/>
      <c r="E1540" s="125" t="str">
        <f>エンティティ一覧!$O$2</f>
        <v>milscm_2023_007</v>
      </c>
      <c r="G1540" s="41"/>
    </row>
    <row r="1541" spans="2:23" ht="18.75" customHeight="1">
      <c r="C1541" s="121"/>
      <c r="D1541" s="122"/>
      <c r="E1541" s="126"/>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27" t="str">
        <f>R1549&amp;"登録"</f>
        <v>バックアップ_検歴情報モジュール_検歴検体材料登録</v>
      </c>
      <c r="D1546" s="128"/>
      <c r="E1546" s="128"/>
      <c r="F1546" s="128"/>
      <c r="G1546" s="128"/>
      <c r="H1546" s="128"/>
      <c r="I1546" s="128"/>
      <c r="J1546" s="128"/>
      <c r="K1546" s="128"/>
      <c r="L1546" s="128"/>
      <c r="M1546" s="128"/>
      <c r="N1546" s="128"/>
      <c r="O1546" s="128"/>
      <c r="P1546" s="128"/>
      <c r="Q1546" s="128"/>
      <c r="R1546" s="128"/>
      <c r="S1546" s="128"/>
      <c r="T1546" s="128"/>
      <c r="U1546" s="129"/>
      <c r="W1546" s="35" t="str">
        <f>"-- "&amp;C1546</f>
        <v>-- バックアップ_検歴情報モジュール_検歴検体材料登録</v>
      </c>
    </row>
    <row r="1547" spans="2:23" ht="18.75" customHeight="1">
      <c r="B1547" s="43" t="s">
        <v>159</v>
      </c>
      <c r="C1547" s="116"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17"/>
      <c r="E1547" s="117"/>
      <c r="F1547" s="117"/>
      <c r="G1547" s="117"/>
      <c r="H1547" s="117"/>
      <c r="I1547" s="117"/>
      <c r="J1547" s="117"/>
      <c r="K1547" s="117"/>
      <c r="L1547" s="117"/>
      <c r="M1547" s="117"/>
      <c r="N1547" s="117"/>
      <c r="O1547" s="117"/>
      <c r="P1547" s="117"/>
      <c r="Q1547" s="117"/>
      <c r="R1547" s="117"/>
      <c r="S1547" s="117"/>
      <c r="T1547" s="117"/>
      <c r="U1547" s="118"/>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19" t="s">
        <v>3476</v>
      </c>
      <c r="D1549" s="120"/>
      <c r="E1549" s="123" t="s">
        <v>162</v>
      </c>
      <c r="H1549" s="36"/>
      <c r="I1549" s="36"/>
      <c r="J1549" s="36"/>
      <c r="K1549" s="36"/>
      <c r="L1549" s="36"/>
      <c r="M1549" s="36"/>
      <c r="N1549" s="36"/>
      <c r="O1549" s="36"/>
      <c r="P1549" s="36"/>
      <c r="Q1549" s="36"/>
      <c r="R1549" s="119" t="str">
        <f>"バックアップ_"&amp;SUBSTITUTE(C1549,"_結合","")</f>
        <v>バックアップ_検歴情報モジュール_検歴検体材料</v>
      </c>
      <c r="S1549" s="120"/>
      <c r="T1549" s="125" t="str">
        <f>エンティティ一覧!$O$2</f>
        <v>milscm_2023_007</v>
      </c>
    </row>
    <row r="1550" spans="2:23" ht="18.75" customHeight="1">
      <c r="C1550" s="121"/>
      <c r="D1550" s="122"/>
      <c r="E1550" s="124"/>
      <c r="F1550" s="37"/>
      <c r="G1550" s="38"/>
      <c r="H1550" s="37"/>
      <c r="I1550" s="37"/>
      <c r="J1550" s="37"/>
      <c r="K1550" s="37"/>
      <c r="L1550" s="37"/>
      <c r="M1550" s="37"/>
      <c r="N1550" s="37"/>
      <c r="O1550" s="37"/>
      <c r="P1550" s="37"/>
      <c r="Q1550" s="37"/>
      <c r="R1550" s="121"/>
      <c r="S1550" s="122"/>
      <c r="T1550" s="126"/>
    </row>
    <row r="1551" spans="2:23" ht="18.75" customHeight="1">
      <c r="F1551" s="39"/>
      <c r="G1551" s="40"/>
    </row>
    <row r="1552" spans="2:23" ht="18.75" customHeight="1">
      <c r="C1552" s="119" t="s">
        <v>3188</v>
      </c>
      <c r="D1552" s="120"/>
      <c r="E1552" s="125" t="str">
        <f>エンティティ一覧!$O$2</f>
        <v>milscm_2023_007</v>
      </c>
      <c r="G1552" s="41"/>
    </row>
    <row r="1553" spans="2:23" ht="18.75" customHeight="1">
      <c r="C1553" s="121"/>
      <c r="D1553" s="122"/>
      <c r="E1553" s="126"/>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27" t="str">
        <f>R1561&amp;"登録"</f>
        <v>バックアップ_検歴情報モジュール_検歴項目情報登録</v>
      </c>
      <c r="D1558" s="128"/>
      <c r="E1558" s="128"/>
      <c r="F1558" s="128"/>
      <c r="G1558" s="128"/>
      <c r="H1558" s="128"/>
      <c r="I1558" s="128"/>
      <c r="J1558" s="128"/>
      <c r="K1558" s="128"/>
      <c r="L1558" s="128"/>
      <c r="M1558" s="128"/>
      <c r="N1558" s="128"/>
      <c r="O1558" s="128"/>
      <c r="P1558" s="128"/>
      <c r="Q1558" s="128"/>
      <c r="R1558" s="128"/>
      <c r="S1558" s="128"/>
      <c r="T1558" s="128"/>
      <c r="U1558" s="129"/>
      <c r="W1558" s="35" t="str">
        <f>"-- "&amp;C1558</f>
        <v>-- バックアップ_検歴情報モジュール_検歴項目情報登録</v>
      </c>
    </row>
    <row r="1559" spans="2:23" ht="18.75" customHeight="1">
      <c r="B1559" s="43" t="s">
        <v>159</v>
      </c>
      <c r="C1559" s="116"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17"/>
      <c r="E1559" s="117"/>
      <c r="F1559" s="117"/>
      <c r="G1559" s="117"/>
      <c r="H1559" s="117"/>
      <c r="I1559" s="117"/>
      <c r="J1559" s="117"/>
      <c r="K1559" s="117"/>
      <c r="L1559" s="117"/>
      <c r="M1559" s="117"/>
      <c r="N1559" s="117"/>
      <c r="O1559" s="117"/>
      <c r="P1559" s="117"/>
      <c r="Q1559" s="117"/>
      <c r="R1559" s="117"/>
      <c r="S1559" s="117"/>
      <c r="T1559" s="117"/>
      <c r="U1559" s="118"/>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19" t="s">
        <v>3478</v>
      </c>
      <c r="D1561" s="120"/>
      <c r="E1561" s="123" t="s">
        <v>162</v>
      </c>
      <c r="H1561" s="36"/>
      <c r="I1561" s="36"/>
      <c r="J1561" s="36"/>
      <c r="K1561" s="36"/>
      <c r="L1561" s="36"/>
      <c r="M1561" s="36"/>
      <c r="N1561" s="36"/>
      <c r="O1561" s="36"/>
      <c r="P1561" s="36"/>
      <c r="Q1561" s="36"/>
      <c r="R1561" s="119" t="str">
        <f>"バックアップ_"&amp;SUBSTITUTE(C1561,"_結合","")</f>
        <v>バックアップ_検歴情報モジュール_検歴項目情報</v>
      </c>
      <c r="S1561" s="120"/>
      <c r="T1561" s="125" t="str">
        <f>エンティティ一覧!$O$2</f>
        <v>milscm_2023_007</v>
      </c>
    </row>
    <row r="1562" spans="2:23" ht="18.75" customHeight="1">
      <c r="C1562" s="121"/>
      <c r="D1562" s="122"/>
      <c r="E1562" s="124"/>
      <c r="F1562" s="37"/>
      <c r="G1562" s="38"/>
      <c r="H1562" s="37"/>
      <c r="I1562" s="37"/>
      <c r="J1562" s="37"/>
      <c r="K1562" s="37"/>
      <c r="L1562" s="37"/>
      <c r="M1562" s="37"/>
      <c r="N1562" s="37"/>
      <c r="O1562" s="37"/>
      <c r="P1562" s="37"/>
      <c r="Q1562" s="37"/>
      <c r="R1562" s="121"/>
      <c r="S1562" s="122"/>
      <c r="T1562" s="126"/>
    </row>
    <row r="1563" spans="2:23" ht="18.75" customHeight="1">
      <c r="F1563" s="39"/>
      <c r="G1563" s="40"/>
    </row>
    <row r="1564" spans="2:23" ht="18.75" customHeight="1">
      <c r="C1564" s="119" t="s">
        <v>3188</v>
      </c>
      <c r="D1564" s="120"/>
      <c r="E1564" s="125" t="str">
        <f>エンティティ一覧!$O$2</f>
        <v>milscm_2023_007</v>
      </c>
      <c r="G1564" s="41"/>
    </row>
    <row r="1565" spans="2:23" ht="18.75" customHeight="1">
      <c r="C1565" s="121"/>
      <c r="D1565" s="122"/>
      <c r="E1565" s="126"/>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27" t="str">
        <f>R1573&amp;"登録"</f>
        <v>バックアップ_バイタルサインモジュール_バイタルサイン登録</v>
      </c>
      <c r="D1570" s="128"/>
      <c r="E1570" s="128"/>
      <c r="F1570" s="128"/>
      <c r="G1570" s="128"/>
      <c r="H1570" s="128"/>
      <c r="I1570" s="128"/>
      <c r="J1570" s="128"/>
      <c r="K1570" s="128"/>
      <c r="L1570" s="128"/>
      <c r="M1570" s="128"/>
      <c r="N1570" s="128"/>
      <c r="O1570" s="128"/>
      <c r="P1570" s="128"/>
      <c r="Q1570" s="128"/>
      <c r="R1570" s="128"/>
      <c r="S1570" s="128"/>
      <c r="T1570" s="128"/>
      <c r="U1570" s="129"/>
      <c r="W1570" s="35" t="str">
        <f>"-- "&amp;C1570</f>
        <v>-- バックアップ_バイタルサインモジュール_バイタルサイン登録</v>
      </c>
    </row>
    <row r="1571" spans="2:23" ht="18.75" customHeight="1">
      <c r="B1571" s="43" t="s">
        <v>159</v>
      </c>
      <c r="C1571" s="116"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17"/>
      <c r="E1571" s="117"/>
      <c r="F1571" s="117"/>
      <c r="G1571" s="117"/>
      <c r="H1571" s="117"/>
      <c r="I1571" s="117"/>
      <c r="J1571" s="117"/>
      <c r="K1571" s="117"/>
      <c r="L1571" s="117"/>
      <c r="M1571" s="117"/>
      <c r="N1571" s="117"/>
      <c r="O1571" s="117"/>
      <c r="P1571" s="117"/>
      <c r="Q1571" s="117"/>
      <c r="R1571" s="117"/>
      <c r="S1571" s="117"/>
      <c r="T1571" s="117"/>
      <c r="U1571" s="118"/>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19" t="s">
        <v>3480</v>
      </c>
      <c r="D1573" s="120"/>
      <c r="E1573" s="123" t="s">
        <v>162</v>
      </c>
      <c r="H1573" s="36"/>
      <c r="I1573" s="36"/>
      <c r="J1573" s="36"/>
      <c r="K1573" s="36"/>
      <c r="L1573" s="36"/>
      <c r="M1573" s="36"/>
      <c r="N1573" s="36"/>
      <c r="O1573" s="36"/>
      <c r="P1573" s="36"/>
      <c r="Q1573" s="36"/>
      <c r="R1573" s="130" t="str">
        <f>"バックアップ_"&amp;SUBSTITUTE(C1573,"_結合","")</f>
        <v>バックアップ_バイタルサインモジュール_バイタルサイン</v>
      </c>
      <c r="S1573" s="131"/>
      <c r="T1573" s="125" t="str">
        <f>エンティティ一覧!$O$2</f>
        <v>milscm_2023_007</v>
      </c>
    </row>
    <row r="1574" spans="2:23" ht="18.75" customHeight="1">
      <c r="C1574" s="121"/>
      <c r="D1574" s="122"/>
      <c r="E1574" s="124"/>
      <c r="F1574" s="37"/>
      <c r="G1574" s="38"/>
      <c r="H1574" s="37"/>
      <c r="I1574" s="37"/>
      <c r="J1574" s="37"/>
      <c r="K1574" s="37"/>
      <c r="L1574" s="37"/>
      <c r="M1574" s="37"/>
      <c r="N1574" s="37"/>
      <c r="O1574" s="37"/>
      <c r="P1574" s="37"/>
      <c r="Q1574" s="37"/>
      <c r="R1574" s="132"/>
      <c r="S1574" s="133"/>
      <c r="T1574" s="126"/>
    </row>
    <row r="1575" spans="2:23" ht="18.75" customHeight="1">
      <c r="F1575" s="39"/>
      <c r="G1575" s="40"/>
    </row>
    <row r="1576" spans="2:23" ht="18.75" customHeight="1">
      <c r="C1576" s="119" t="s">
        <v>3188</v>
      </c>
      <c r="D1576" s="120"/>
      <c r="E1576" s="125" t="str">
        <f>エンティティ一覧!$O$2</f>
        <v>milscm_2023_007</v>
      </c>
      <c r="G1576" s="41"/>
    </row>
    <row r="1577" spans="2:23" ht="18.75" customHeight="1">
      <c r="C1577" s="121"/>
      <c r="D1577" s="122"/>
      <c r="E1577" s="126"/>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27" t="str">
        <f>R1585&amp;"登録"</f>
        <v>バックアップ_バイタルサインモジュール_記録項目登録</v>
      </c>
      <c r="D1582" s="128"/>
      <c r="E1582" s="128"/>
      <c r="F1582" s="128"/>
      <c r="G1582" s="128"/>
      <c r="H1582" s="128"/>
      <c r="I1582" s="128"/>
      <c r="J1582" s="128"/>
      <c r="K1582" s="128"/>
      <c r="L1582" s="128"/>
      <c r="M1582" s="128"/>
      <c r="N1582" s="128"/>
      <c r="O1582" s="128"/>
      <c r="P1582" s="128"/>
      <c r="Q1582" s="128"/>
      <c r="R1582" s="128"/>
      <c r="S1582" s="128"/>
      <c r="T1582" s="128"/>
      <c r="U1582" s="129"/>
      <c r="W1582" s="35" t="str">
        <f>"-- "&amp;C1582</f>
        <v>-- バックアップ_バイタルサインモジュール_記録項目登録</v>
      </c>
    </row>
    <row r="1583" spans="2:23" ht="18.75" customHeight="1">
      <c r="B1583" s="43" t="s">
        <v>159</v>
      </c>
      <c r="C1583" s="116"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17"/>
      <c r="E1583" s="117"/>
      <c r="F1583" s="117"/>
      <c r="G1583" s="117"/>
      <c r="H1583" s="117"/>
      <c r="I1583" s="117"/>
      <c r="J1583" s="117"/>
      <c r="K1583" s="117"/>
      <c r="L1583" s="117"/>
      <c r="M1583" s="117"/>
      <c r="N1583" s="117"/>
      <c r="O1583" s="117"/>
      <c r="P1583" s="117"/>
      <c r="Q1583" s="117"/>
      <c r="R1583" s="117"/>
      <c r="S1583" s="117"/>
      <c r="T1583" s="117"/>
      <c r="U1583" s="118"/>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19" t="s">
        <v>3482</v>
      </c>
      <c r="D1585" s="120"/>
      <c r="E1585" s="123" t="s">
        <v>162</v>
      </c>
      <c r="H1585" s="36"/>
      <c r="I1585" s="36"/>
      <c r="J1585" s="36"/>
      <c r="K1585" s="36"/>
      <c r="L1585" s="36"/>
      <c r="M1585" s="36"/>
      <c r="N1585" s="36"/>
      <c r="O1585" s="36"/>
      <c r="P1585" s="36"/>
      <c r="Q1585" s="36"/>
      <c r="R1585" s="130" t="str">
        <f>"バックアップ_"&amp;SUBSTITUTE(C1585,"_結合","")</f>
        <v>バックアップ_バイタルサインモジュール_記録項目</v>
      </c>
      <c r="S1585" s="131"/>
      <c r="T1585" s="125" t="str">
        <f>エンティティ一覧!$O$2</f>
        <v>milscm_2023_007</v>
      </c>
    </row>
    <row r="1586" spans="2:23" ht="18.75" customHeight="1">
      <c r="C1586" s="121"/>
      <c r="D1586" s="122"/>
      <c r="E1586" s="124"/>
      <c r="F1586" s="37"/>
      <c r="G1586" s="38"/>
      <c r="H1586" s="37"/>
      <c r="I1586" s="37"/>
      <c r="J1586" s="37"/>
      <c r="K1586" s="37"/>
      <c r="L1586" s="37"/>
      <c r="M1586" s="37"/>
      <c r="N1586" s="37"/>
      <c r="O1586" s="37"/>
      <c r="P1586" s="37"/>
      <c r="Q1586" s="37"/>
      <c r="R1586" s="132"/>
      <c r="S1586" s="133"/>
      <c r="T1586" s="126"/>
    </row>
    <row r="1587" spans="2:23" ht="18.75" customHeight="1">
      <c r="F1587" s="39"/>
      <c r="G1587" s="40"/>
    </row>
    <row r="1588" spans="2:23" ht="18.75" customHeight="1">
      <c r="C1588" s="119" t="s">
        <v>3188</v>
      </c>
      <c r="D1588" s="120"/>
      <c r="E1588" s="125" t="str">
        <f>エンティティ一覧!$O$2</f>
        <v>milscm_2023_007</v>
      </c>
      <c r="G1588" s="41"/>
    </row>
    <row r="1589" spans="2:23" ht="18.75" customHeight="1">
      <c r="C1589" s="121"/>
      <c r="D1589" s="122"/>
      <c r="E1589" s="126"/>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27" t="str">
        <f>R1597&amp;"登録"</f>
        <v>バックアップ_体温表モジュール_バイタルサイン登録</v>
      </c>
      <c r="D1594" s="128"/>
      <c r="E1594" s="128"/>
      <c r="F1594" s="128"/>
      <c r="G1594" s="128"/>
      <c r="H1594" s="128"/>
      <c r="I1594" s="128"/>
      <c r="J1594" s="128"/>
      <c r="K1594" s="128"/>
      <c r="L1594" s="128"/>
      <c r="M1594" s="128"/>
      <c r="N1594" s="128"/>
      <c r="O1594" s="128"/>
      <c r="P1594" s="128"/>
      <c r="Q1594" s="128"/>
      <c r="R1594" s="128"/>
      <c r="S1594" s="128"/>
      <c r="T1594" s="128"/>
      <c r="U1594" s="129"/>
      <c r="W1594" s="35" t="str">
        <f>"-- "&amp;C1594</f>
        <v>-- バックアップ_体温表モジュール_バイタルサイン登録</v>
      </c>
    </row>
    <row r="1595" spans="2:23" ht="18.75" customHeight="1">
      <c r="B1595" s="43" t="s">
        <v>159</v>
      </c>
      <c r="C1595" s="116"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17"/>
      <c r="E1595" s="117"/>
      <c r="F1595" s="117"/>
      <c r="G1595" s="117"/>
      <c r="H1595" s="117"/>
      <c r="I1595" s="117"/>
      <c r="J1595" s="117"/>
      <c r="K1595" s="117"/>
      <c r="L1595" s="117"/>
      <c r="M1595" s="117"/>
      <c r="N1595" s="117"/>
      <c r="O1595" s="117"/>
      <c r="P1595" s="117"/>
      <c r="Q1595" s="117"/>
      <c r="R1595" s="117"/>
      <c r="S1595" s="117"/>
      <c r="T1595" s="117"/>
      <c r="U1595" s="118"/>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19" t="s">
        <v>3484</v>
      </c>
      <c r="D1597" s="120"/>
      <c r="E1597" s="123" t="s">
        <v>162</v>
      </c>
      <c r="H1597" s="36"/>
      <c r="I1597" s="36"/>
      <c r="J1597" s="36"/>
      <c r="K1597" s="36"/>
      <c r="L1597" s="36"/>
      <c r="M1597" s="36"/>
      <c r="N1597" s="36"/>
      <c r="O1597" s="36"/>
      <c r="P1597" s="36"/>
      <c r="Q1597" s="36"/>
      <c r="R1597" s="130" t="str">
        <f>"バックアップ_"&amp;SUBSTITUTE(C1597,"_結合","")</f>
        <v>バックアップ_体温表モジュール_バイタルサイン</v>
      </c>
      <c r="S1597" s="131"/>
      <c r="T1597" s="125" t="str">
        <f>エンティティ一覧!$O$2</f>
        <v>milscm_2023_007</v>
      </c>
    </row>
    <row r="1598" spans="2:23" ht="18.75" customHeight="1">
      <c r="C1598" s="121"/>
      <c r="D1598" s="122"/>
      <c r="E1598" s="124"/>
      <c r="F1598" s="37"/>
      <c r="G1598" s="38"/>
      <c r="H1598" s="37"/>
      <c r="I1598" s="37"/>
      <c r="J1598" s="37"/>
      <c r="K1598" s="37"/>
      <c r="L1598" s="37"/>
      <c r="M1598" s="37"/>
      <c r="N1598" s="37"/>
      <c r="O1598" s="37"/>
      <c r="P1598" s="37"/>
      <c r="Q1598" s="37"/>
      <c r="R1598" s="132"/>
      <c r="S1598" s="133"/>
      <c r="T1598" s="126"/>
    </row>
    <row r="1599" spans="2:23" ht="18.75" customHeight="1">
      <c r="F1599" s="39"/>
      <c r="G1599" s="40"/>
    </row>
    <row r="1600" spans="2:23" ht="18.75" customHeight="1">
      <c r="C1600" s="119" t="s">
        <v>3188</v>
      </c>
      <c r="D1600" s="120"/>
      <c r="E1600" s="125" t="str">
        <f>エンティティ一覧!$O$2</f>
        <v>milscm_2023_007</v>
      </c>
      <c r="G1600" s="41"/>
    </row>
    <row r="1601" spans="2:23" ht="18.75" customHeight="1">
      <c r="C1601" s="121"/>
      <c r="D1601" s="122"/>
      <c r="E1601" s="126"/>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27" t="str">
        <f>R1609&amp;"登録"</f>
        <v>バックアップ_体温表モジュール_記録項目登録</v>
      </c>
      <c r="D1606" s="128"/>
      <c r="E1606" s="128"/>
      <c r="F1606" s="128"/>
      <c r="G1606" s="128"/>
      <c r="H1606" s="128"/>
      <c r="I1606" s="128"/>
      <c r="J1606" s="128"/>
      <c r="K1606" s="128"/>
      <c r="L1606" s="128"/>
      <c r="M1606" s="128"/>
      <c r="N1606" s="128"/>
      <c r="O1606" s="128"/>
      <c r="P1606" s="128"/>
      <c r="Q1606" s="128"/>
      <c r="R1606" s="128"/>
      <c r="S1606" s="128"/>
      <c r="T1606" s="128"/>
      <c r="U1606" s="129"/>
      <c r="W1606" s="35" t="str">
        <f>"-- "&amp;C1606</f>
        <v>-- バックアップ_体温表モジュール_記録項目登録</v>
      </c>
    </row>
    <row r="1607" spans="2:23" ht="18.75" customHeight="1">
      <c r="B1607" s="43" t="s">
        <v>159</v>
      </c>
      <c r="C1607" s="116"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17"/>
      <c r="E1607" s="117"/>
      <c r="F1607" s="117"/>
      <c r="G1607" s="117"/>
      <c r="H1607" s="117"/>
      <c r="I1607" s="117"/>
      <c r="J1607" s="117"/>
      <c r="K1607" s="117"/>
      <c r="L1607" s="117"/>
      <c r="M1607" s="117"/>
      <c r="N1607" s="117"/>
      <c r="O1607" s="117"/>
      <c r="P1607" s="117"/>
      <c r="Q1607" s="117"/>
      <c r="R1607" s="117"/>
      <c r="S1607" s="117"/>
      <c r="T1607" s="117"/>
      <c r="U1607" s="118"/>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19" t="s">
        <v>3486</v>
      </c>
      <c r="D1609" s="120"/>
      <c r="E1609" s="123" t="s">
        <v>162</v>
      </c>
      <c r="H1609" s="36"/>
      <c r="I1609" s="36"/>
      <c r="J1609" s="36"/>
      <c r="K1609" s="36"/>
      <c r="L1609" s="36"/>
      <c r="M1609" s="36"/>
      <c r="N1609" s="36"/>
      <c r="O1609" s="36"/>
      <c r="P1609" s="36"/>
      <c r="Q1609" s="36"/>
      <c r="R1609" s="130" t="str">
        <f>"バックアップ_"&amp;SUBSTITUTE(C1609,"_結合","")</f>
        <v>バックアップ_体温表モジュール_記録項目</v>
      </c>
      <c r="S1609" s="131"/>
      <c r="T1609" s="125" t="str">
        <f>エンティティ一覧!$O$2</f>
        <v>milscm_2023_007</v>
      </c>
    </row>
    <row r="1610" spans="2:23" ht="18.75" customHeight="1">
      <c r="C1610" s="121"/>
      <c r="D1610" s="122"/>
      <c r="E1610" s="124"/>
      <c r="F1610" s="37"/>
      <c r="G1610" s="38"/>
      <c r="H1610" s="37"/>
      <c r="I1610" s="37"/>
      <c r="J1610" s="37"/>
      <c r="K1610" s="37"/>
      <c r="L1610" s="37"/>
      <c r="M1610" s="37"/>
      <c r="N1610" s="37"/>
      <c r="O1610" s="37"/>
      <c r="P1610" s="37"/>
      <c r="Q1610" s="37"/>
      <c r="R1610" s="132"/>
      <c r="S1610" s="133"/>
      <c r="T1610" s="126"/>
    </row>
    <row r="1611" spans="2:23" ht="18.75" customHeight="1">
      <c r="F1611" s="39"/>
      <c r="G1611" s="40"/>
    </row>
    <row r="1612" spans="2:23" ht="18.75" customHeight="1">
      <c r="C1612" s="119" t="s">
        <v>3188</v>
      </c>
      <c r="D1612" s="120"/>
      <c r="E1612" s="125" t="str">
        <f>エンティティ一覧!$O$2</f>
        <v>milscm_2023_007</v>
      </c>
      <c r="G1612" s="41"/>
    </row>
    <row r="1613" spans="2:23" ht="18.75" customHeight="1">
      <c r="C1613" s="121"/>
      <c r="D1613" s="122"/>
      <c r="E1613" s="126"/>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topLeftCell="A4" zoomScaleNormal="100" workbookViewId="0">
      <selection activeCell="F12" sqref="F12"/>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27" t="str">
        <f>R7&amp;"登録"</f>
        <v>組入れ_対象施設登録</v>
      </c>
      <c r="D4" s="128"/>
      <c r="E4" s="128"/>
      <c r="F4" s="128"/>
      <c r="G4" s="128"/>
      <c r="H4" s="128"/>
      <c r="I4" s="128"/>
      <c r="J4" s="128"/>
      <c r="K4" s="128"/>
      <c r="L4" s="128"/>
      <c r="M4" s="128"/>
      <c r="N4" s="128"/>
      <c r="O4" s="128"/>
      <c r="P4" s="128"/>
      <c r="Q4" s="128"/>
      <c r="R4" s="128"/>
      <c r="S4" s="128"/>
      <c r="T4" s="128"/>
      <c r="U4" s="129"/>
      <c r="W4" s="35" t="str">
        <f>"-- "&amp;C4</f>
        <v>-- 組入れ_対象施設登録</v>
      </c>
    </row>
    <row r="5" spans="1:23" ht="18.75" customHeight="1">
      <c r="B5" s="43" t="s">
        <v>159</v>
      </c>
      <c r="C5" s="116" t="str">
        <f>C7&amp;"テーブルから組入れ条件の施設情報を登録する。"</f>
        <v>バックアップ_処理対象施設マスタテーブルから組入れ条件の施設情報を登録する。</v>
      </c>
      <c r="D5" s="117"/>
      <c r="E5" s="117"/>
      <c r="F5" s="117"/>
      <c r="G5" s="117"/>
      <c r="H5" s="117"/>
      <c r="I5" s="117"/>
      <c r="J5" s="117"/>
      <c r="K5" s="117"/>
      <c r="L5" s="117"/>
      <c r="M5" s="117"/>
      <c r="N5" s="117"/>
      <c r="O5" s="117"/>
      <c r="P5" s="117"/>
      <c r="Q5" s="117"/>
      <c r="R5" s="117"/>
      <c r="S5" s="117"/>
      <c r="T5" s="117"/>
      <c r="U5" s="118"/>
      <c r="W5" s="35" t="str">
        <f>"-- "&amp;C5</f>
        <v>-- バックアップ_処理対象施設マスタテーブルから組入れ条件の施設情報を登録する。</v>
      </c>
    </row>
    <row r="7" spans="1:23" ht="18.75" customHeight="1">
      <c r="C7" s="119" t="s">
        <v>4124</v>
      </c>
      <c r="D7" s="120"/>
      <c r="E7" s="125" t="str">
        <f>エンティティ一覧!$O$2</f>
        <v>milscm_2023_007</v>
      </c>
      <c r="F7" s="36"/>
      <c r="G7" s="36"/>
      <c r="H7" s="36"/>
      <c r="I7" s="36"/>
      <c r="J7" s="36"/>
      <c r="M7" s="36"/>
      <c r="N7" s="36"/>
      <c r="O7" s="36"/>
      <c r="P7" s="36"/>
      <c r="Q7" s="36"/>
      <c r="R7" s="119" t="s">
        <v>3679</v>
      </c>
      <c r="S7" s="120"/>
      <c r="T7" s="125" t="str">
        <f>エンティティ一覧!$O$2</f>
        <v>milscm_2023_007</v>
      </c>
      <c r="W7" s="35" t="s">
        <v>3680</v>
      </c>
    </row>
    <row r="8" spans="1:23" ht="18.75" customHeight="1">
      <c r="C8" s="121"/>
      <c r="D8" s="122"/>
      <c r="E8" s="126"/>
      <c r="F8" s="37"/>
      <c r="G8" s="37"/>
      <c r="H8" s="37"/>
      <c r="I8" s="37"/>
      <c r="J8" s="37"/>
      <c r="K8" s="37"/>
      <c r="L8" s="38"/>
      <c r="M8" s="37"/>
      <c r="N8" s="37"/>
      <c r="O8" s="37"/>
      <c r="P8" s="37"/>
      <c r="Q8" s="37"/>
      <c r="R8" s="121"/>
      <c r="S8" s="122"/>
      <c r="T8" s="126"/>
    </row>
    <row r="9" spans="1:23" ht="18.75" customHeight="1">
      <c r="K9" s="39"/>
      <c r="L9" s="40"/>
    </row>
    <row r="10" spans="1:23" ht="18.75" customHeight="1">
      <c r="C10" s="119" t="s">
        <v>4125</v>
      </c>
      <c r="D10" s="120"/>
      <c r="E10" s="125" t="s">
        <v>4126</v>
      </c>
      <c r="F10" s="36"/>
      <c r="G10" s="36"/>
      <c r="H10" s="36"/>
      <c r="I10" s="36"/>
      <c r="J10" s="36"/>
      <c r="L10" s="41"/>
    </row>
    <row r="11" spans="1:23" ht="18.75" customHeight="1">
      <c r="C11" s="121"/>
      <c r="D11" s="122"/>
      <c r="E11" s="126"/>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27" t="str">
        <f>R20&amp;"登録"</f>
        <v>組入れ_対象疾患登録</v>
      </c>
      <c r="D17" s="128"/>
      <c r="E17" s="128"/>
      <c r="F17" s="128"/>
      <c r="G17" s="128"/>
      <c r="H17" s="128"/>
      <c r="I17" s="128"/>
      <c r="J17" s="128"/>
      <c r="K17" s="128"/>
      <c r="L17" s="128"/>
      <c r="M17" s="128"/>
      <c r="N17" s="128"/>
      <c r="O17" s="128"/>
      <c r="P17" s="128"/>
      <c r="Q17" s="128"/>
      <c r="R17" s="128"/>
      <c r="S17" s="128"/>
      <c r="T17" s="128"/>
      <c r="U17" s="129"/>
      <c r="W17" s="35" t="str">
        <f>"-- "&amp;C17</f>
        <v>-- 組入れ_対象疾患登録</v>
      </c>
    </row>
    <row r="18" spans="2:23" ht="18.75" customHeight="1">
      <c r="B18" s="43" t="s">
        <v>159</v>
      </c>
      <c r="C18" s="116" t="s">
        <v>3807</v>
      </c>
      <c r="D18" s="117"/>
      <c r="E18" s="117"/>
      <c r="F18" s="117"/>
      <c r="G18" s="117"/>
      <c r="H18" s="117"/>
      <c r="I18" s="117"/>
      <c r="J18" s="117"/>
      <c r="K18" s="117"/>
      <c r="L18" s="117"/>
      <c r="M18" s="117"/>
      <c r="N18" s="117"/>
      <c r="O18" s="117"/>
      <c r="P18" s="117"/>
      <c r="Q18" s="117"/>
      <c r="R18" s="117"/>
      <c r="S18" s="117"/>
      <c r="T18" s="117"/>
      <c r="U18" s="118"/>
      <c r="W18" s="35" t="str">
        <f>"-- "&amp;C18</f>
        <v>-- MML診断履歴情報から組入れ条件の疾患情報を登録する。</v>
      </c>
    </row>
    <row r="20" spans="2:23" ht="18.75" customHeight="1">
      <c r="C20" s="119" t="s">
        <v>1321</v>
      </c>
      <c r="D20" s="120"/>
      <c r="E20" s="125" t="str">
        <f>エンティティ一覧!$O$2</f>
        <v>milscm_2023_007</v>
      </c>
      <c r="F20" s="36"/>
      <c r="G20" s="36"/>
      <c r="H20" s="36"/>
      <c r="I20" s="36"/>
      <c r="J20" s="36"/>
      <c r="M20" s="36"/>
      <c r="N20" s="36"/>
      <c r="O20" s="36"/>
      <c r="P20" s="36"/>
      <c r="Q20" s="36"/>
      <c r="R20" s="119" t="s">
        <v>3681</v>
      </c>
      <c r="S20" s="120"/>
      <c r="T20" s="125" t="str">
        <f>エンティティ一覧!$O$2</f>
        <v>milscm_2023_007</v>
      </c>
    </row>
    <row r="21" spans="2:23" ht="18.75" customHeight="1">
      <c r="C21" s="121"/>
      <c r="D21" s="122"/>
      <c r="E21" s="126"/>
      <c r="F21" s="37"/>
      <c r="G21" s="37"/>
      <c r="H21" s="37"/>
      <c r="I21" s="37"/>
      <c r="J21" s="37"/>
      <c r="K21" s="37"/>
      <c r="L21" s="38"/>
      <c r="M21" s="37"/>
      <c r="N21" s="37"/>
      <c r="O21" s="37"/>
      <c r="P21" s="37"/>
      <c r="Q21" s="37"/>
      <c r="R21" s="121"/>
      <c r="S21" s="122"/>
      <c r="T21" s="126"/>
    </row>
    <row r="22" spans="2:23" ht="18.75" customHeight="1">
      <c r="K22" s="39"/>
      <c r="L22" s="40"/>
    </row>
    <row r="23" spans="2:23" ht="18.75" customHeight="1">
      <c r="C23" s="119" t="s">
        <v>2799</v>
      </c>
      <c r="D23" s="120"/>
      <c r="E23" s="125" t="str">
        <f>エンティティ一覧!$O$2</f>
        <v>milscm_2023_007</v>
      </c>
      <c r="H23" s="36"/>
      <c r="I23" s="36"/>
      <c r="J23" s="36"/>
      <c r="L23" s="41"/>
    </row>
    <row r="24" spans="2:23" ht="18.75" customHeight="1">
      <c r="C24" s="121"/>
      <c r="D24" s="122"/>
      <c r="E24" s="126"/>
      <c r="F24" s="37"/>
      <c r="G24" s="38"/>
      <c r="H24" s="37"/>
      <c r="I24" s="37"/>
      <c r="J24" s="37"/>
      <c r="K24" s="37"/>
    </row>
    <row r="25" spans="2:23" ht="18.75" customHeight="1">
      <c r="F25" s="39"/>
      <c r="G25" s="40"/>
    </row>
    <row r="26" spans="2:23" ht="18.75" customHeight="1">
      <c r="C26" s="119" t="s">
        <v>3678</v>
      </c>
      <c r="D26" s="120"/>
      <c r="E26" s="123" t="s">
        <v>162</v>
      </c>
      <c r="G26" s="41"/>
    </row>
    <row r="27" spans="2:23" ht="18.75" customHeight="1">
      <c r="C27" s="121"/>
      <c r="D27" s="122"/>
      <c r="E27" s="124"/>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27" t="str">
        <f>R35&amp;"登録"</f>
        <v>組入れ_対象処方登録</v>
      </c>
      <c r="D32" s="128"/>
      <c r="E32" s="128"/>
      <c r="F32" s="128"/>
      <c r="G32" s="128"/>
      <c r="H32" s="128"/>
      <c r="I32" s="128"/>
      <c r="J32" s="128"/>
      <c r="K32" s="128"/>
      <c r="L32" s="128"/>
      <c r="M32" s="128"/>
      <c r="N32" s="128"/>
      <c r="O32" s="128"/>
      <c r="P32" s="128"/>
      <c r="Q32" s="128"/>
      <c r="R32" s="128"/>
      <c r="S32" s="128"/>
      <c r="T32" s="128"/>
      <c r="U32" s="129"/>
      <c r="W32" s="35" t="str">
        <f>"-- "&amp;C32</f>
        <v>-- 組入れ_対象処方登録</v>
      </c>
    </row>
    <row r="33" spans="2:23" ht="18.75" customHeight="1">
      <c r="B33" s="43" t="s">
        <v>159</v>
      </c>
      <c r="C33" s="116" t="s">
        <v>3808</v>
      </c>
      <c r="D33" s="117"/>
      <c r="E33" s="117"/>
      <c r="F33" s="117"/>
      <c r="G33" s="117"/>
      <c r="H33" s="117"/>
      <c r="I33" s="117"/>
      <c r="J33" s="117"/>
      <c r="K33" s="117"/>
      <c r="L33" s="117"/>
      <c r="M33" s="117"/>
      <c r="N33" s="117"/>
      <c r="O33" s="117"/>
      <c r="P33" s="117"/>
      <c r="Q33" s="117"/>
      <c r="R33" s="117"/>
      <c r="S33" s="117"/>
      <c r="T33" s="117"/>
      <c r="U33" s="118"/>
      <c r="W33" s="35" t="str">
        <f>"-- "&amp;C33</f>
        <v>-- バックアップ_処方データ_組み入れ第一条件テーブルから診療年月が契約開始以降のレコードが存在する処方情報を登録する。</v>
      </c>
    </row>
    <row r="35" spans="2:23" ht="18.75" customHeight="1">
      <c r="C35" s="119" t="s">
        <v>3683</v>
      </c>
      <c r="D35" s="120"/>
      <c r="E35" s="125" t="str">
        <f>エンティティ一覧!$O$2</f>
        <v>milscm_2023_007</v>
      </c>
      <c r="F35" s="36"/>
      <c r="G35" s="36"/>
      <c r="H35" s="36"/>
      <c r="I35" s="36"/>
      <c r="J35" s="36"/>
      <c r="M35" s="36"/>
      <c r="N35" s="36"/>
      <c r="O35" s="36"/>
      <c r="P35" s="36"/>
      <c r="Q35" s="36"/>
      <c r="R35" s="119" t="s">
        <v>3682</v>
      </c>
      <c r="S35" s="120"/>
      <c r="T35" s="125" t="str">
        <f>エンティティ一覧!$O$2</f>
        <v>milscm_2023_007</v>
      </c>
    </row>
    <row r="36" spans="2:23" ht="18.75" customHeight="1">
      <c r="C36" s="121"/>
      <c r="D36" s="122"/>
      <c r="E36" s="126"/>
      <c r="F36" s="37"/>
      <c r="G36" s="37"/>
      <c r="H36" s="37"/>
      <c r="I36" s="37"/>
      <c r="J36" s="37"/>
      <c r="K36" s="37"/>
      <c r="L36" s="38"/>
      <c r="M36" s="37"/>
      <c r="N36" s="37"/>
      <c r="O36" s="37"/>
      <c r="P36" s="37"/>
      <c r="Q36" s="37"/>
      <c r="R36" s="121"/>
      <c r="S36" s="122"/>
      <c r="T36" s="126"/>
    </row>
    <row r="37" spans="2:23" ht="18.75" customHeight="1">
      <c r="K37" s="39"/>
      <c r="L37" s="40"/>
    </row>
    <row r="38" spans="2:23" ht="18.75" customHeight="1">
      <c r="C38" s="119" t="s">
        <v>3679</v>
      </c>
      <c r="D38" s="120"/>
      <c r="E38" s="125" t="str">
        <f>エンティティ一覧!$O$2</f>
        <v>milscm_2023_007</v>
      </c>
      <c r="F38" s="36"/>
      <c r="G38" s="36"/>
      <c r="H38" s="36"/>
      <c r="I38" s="36"/>
      <c r="J38" s="36"/>
      <c r="L38" s="41"/>
    </row>
    <row r="39" spans="2:23" ht="18.75" customHeight="1">
      <c r="C39" s="121"/>
      <c r="D39" s="122"/>
      <c r="E39" s="126"/>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3684</v>
      </c>
      <c r="D43" s="87"/>
      <c r="W43" s="35" t="str">
        <f>"-- "&amp;B43&amp;" : "&amp;C43</f>
        <v>-- SQL_ID : 11_04</v>
      </c>
    </row>
    <row r="44" spans="2:23" ht="18.75" customHeight="1">
      <c r="B44" s="43" t="s">
        <v>158</v>
      </c>
      <c r="C44" s="127" t="str">
        <f>R47&amp;"登録"</f>
        <v>組入れ_対象患者登録</v>
      </c>
      <c r="D44" s="128"/>
      <c r="E44" s="128"/>
      <c r="F44" s="128"/>
      <c r="G44" s="128"/>
      <c r="H44" s="128"/>
      <c r="I44" s="128"/>
      <c r="J44" s="128"/>
      <c r="K44" s="128"/>
      <c r="L44" s="128"/>
      <c r="M44" s="128"/>
      <c r="N44" s="128"/>
      <c r="O44" s="128"/>
      <c r="P44" s="128"/>
      <c r="Q44" s="128"/>
      <c r="R44" s="128"/>
      <c r="S44" s="128"/>
      <c r="T44" s="128"/>
      <c r="U44" s="129"/>
      <c r="W44" s="35" t="str">
        <f>"-- "&amp;C44</f>
        <v>-- 組入れ_対象患者登録</v>
      </c>
    </row>
    <row r="45" spans="2:23" ht="18.75" customHeight="1">
      <c r="B45" s="43" t="s">
        <v>159</v>
      </c>
      <c r="C45" s="116" t="str">
        <f>C47&amp;"テーブルから患者IDを集約した結果を"&amp;R47&amp;"テーブルに格納する。"</f>
        <v>組入れ_対象処方テーブルから患者IDを集約した結果を組入れ_対象患者テーブルに格納する。</v>
      </c>
      <c r="D45" s="117"/>
      <c r="E45" s="117"/>
      <c r="F45" s="117"/>
      <c r="G45" s="117"/>
      <c r="H45" s="117"/>
      <c r="I45" s="117"/>
      <c r="J45" s="117"/>
      <c r="K45" s="117"/>
      <c r="L45" s="117"/>
      <c r="M45" s="117"/>
      <c r="N45" s="117"/>
      <c r="O45" s="117"/>
      <c r="P45" s="117"/>
      <c r="Q45" s="117"/>
      <c r="R45" s="117"/>
      <c r="S45" s="117"/>
      <c r="T45" s="117"/>
      <c r="U45" s="118"/>
      <c r="W45" s="35" t="str">
        <f>"-- "&amp;C45</f>
        <v>-- 組入れ_対象処方テーブルから患者IDを集約した結果を組入れ_対象患者テーブルに格納する。</v>
      </c>
    </row>
    <row r="47" spans="2:23" ht="18.75" customHeight="1">
      <c r="C47" s="119" t="s">
        <v>3682</v>
      </c>
      <c r="D47" s="120"/>
      <c r="E47" s="125" t="str">
        <f>エンティティ一覧!$O$2</f>
        <v>milscm_2023_007</v>
      </c>
      <c r="F47" s="36"/>
      <c r="G47" s="36"/>
      <c r="H47" s="36"/>
      <c r="I47" s="36"/>
      <c r="J47" s="36"/>
      <c r="K47" s="36"/>
      <c r="L47" s="36"/>
      <c r="M47" s="36"/>
      <c r="N47" s="36"/>
      <c r="O47" s="36"/>
      <c r="P47" s="36"/>
      <c r="Q47" s="36"/>
      <c r="R47" s="119" t="s">
        <v>186</v>
      </c>
      <c r="S47" s="120"/>
      <c r="T47" s="125" t="str">
        <f>エンティティ一覧!$O$2</f>
        <v>milscm_2023_007</v>
      </c>
    </row>
    <row r="48" spans="2:23" ht="18.75" customHeight="1">
      <c r="C48" s="121"/>
      <c r="D48" s="122"/>
      <c r="E48" s="126"/>
      <c r="F48" s="37"/>
      <c r="G48" s="37"/>
      <c r="H48" s="37"/>
      <c r="I48" s="37"/>
      <c r="J48" s="37"/>
      <c r="K48" s="37"/>
      <c r="L48" s="37"/>
      <c r="M48" s="37"/>
      <c r="N48" s="37"/>
      <c r="O48" s="37"/>
      <c r="P48" s="37"/>
      <c r="Q48" s="37"/>
      <c r="R48" s="121"/>
      <c r="S48" s="122"/>
      <c r="T48" s="126"/>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3686</v>
      </c>
      <c r="D52" s="52"/>
      <c r="W52" s="35" t="str">
        <f>"-- "&amp;B52&amp;" : "&amp;C52</f>
        <v>-- SQL_ID : 11_05</v>
      </c>
    </row>
    <row r="53" spans="2:23" ht="18.75" customHeight="1">
      <c r="B53" s="43" t="s">
        <v>158</v>
      </c>
      <c r="C53" s="127" t="s">
        <v>905</v>
      </c>
      <c r="D53" s="128"/>
      <c r="E53" s="128"/>
      <c r="F53" s="128"/>
      <c r="G53" s="128"/>
      <c r="H53" s="128"/>
      <c r="I53" s="128"/>
      <c r="J53" s="128"/>
      <c r="K53" s="128"/>
      <c r="L53" s="128"/>
      <c r="M53" s="128"/>
      <c r="N53" s="128"/>
      <c r="O53" s="128"/>
      <c r="P53" s="128"/>
      <c r="Q53" s="128"/>
      <c r="R53" s="128"/>
      <c r="S53" s="128"/>
      <c r="T53" s="128"/>
      <c r="U53" s="129"/>
      <c r="W53" s="35" t="str">
        <f>"-- "&amp;C53</f>
        <v>-- 組入れ_施設別患者数_取得</v>
      </c>
    </row>
    <row r="54" spans="2:23" ht="18.75" customHeight="1">
      <c r="B54" s="43" t="s">
        <v>159</v>
      </c>
      <c r="C54" s="116" t="s">
        <v>3687</v>
      </c>
      <c r="D54" s="117"/>
      <c r="E54" s="117"/>
      <c r="F54" s="117"/>
      <c r="G54" s="117"/>
      <c r="H54" s="117"/>
      <c r="I54" s="117"/>
      <c r="J54" s="117"/>
      <c r="K54" s="117"/>
      <c r="L54" s="117"/>
      <c r="M54" s="117"/>
      <c r="N54" s="117"/>
      <c r="O54" s="117"/>
      <c r="P54" s="117"/>
      <c r="Q54" s="117"/>
      <c r="R54" s="117"/>
      <c r="S54" s="117"/>
      <c r="T54" s="117"/>
      <c r="U54" s="118"/>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19" t="s">
        <v>174</v>
      </c>
      <c r="D56" s="120"/>
      <c r="E56" s="125" t="str">
        <f>エンティティ一覧!$O$2</f>
        <v>milscm_2023_007</v>
      </c>
      <c r="F56" s="36"/>
      <c r="G56" s="36"/>
      <c r="H56" s="36"/>
      <c r="I56" s="36"/>
      <c r="J56" s="36"/>
      <c r="K56" s="36"/>
      <c r="L56" s="36"/>
      <c r="M56" s="36"/>
      <c r="N56" s="36"/>
      <c r="O56" s="36"/>
      <c r="P56" s="36"/>
      <c r="Q56" s="36"/>
      <c r="R56" s="119" t="s">
        <v>187</v>
      </c>
      <c r="S56" s="120"/>
      <c r="T56" s="125" t="s">
        <v>176</v>
      </c>
      <c r="V56" s="35" t="s">
        <v>3685</v>
      </c>
    </row>
    <row r="57" spans="2:23" ht="18.75" customHeight="1">
      <c r="C57" s="121"/>
      <c r="D57" s="122"/>
      <c r="E57" s="126"/>
      <c r="F57" s="37"/>
      <c r="G57" s="37"/>
      <c r="H57" s="37"/>
      <c r="I57" s="37"/>
      <c r="J57" s="37"/>
      <c r="K57" s="37"/>
      <c r="L57" s="37"/>
      <c r="M57" s="37"/>
      <c r="N57" s="37"/>
      <c r="O57" s="37"/>
      <c r="P57" s="37"/>
      <c r="Q57" s="37"/>
      <c r="R57" s="121"/>
      <c r="S57" s="122"/>
      <c r="T57" s="126"/>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23:D24"/>
    <mergeCell ref="E23:E24"/>
    <mergeCell ref="C32:U32"/>
    <mergeCell ref="C33:U33"/>
    <mergeCell ref="C35:D36"/>
    <mergeCell ref="E35:E36"/>
    <mergeCell ref="R35:S36"/>
    <mergeCell ref="T35:T36"/>
    <mergeCell ref="C26:D27"/>
    <mergeCell ref="E26:E27"/>
    <mergeCell ref="C18:U18"/>
    <mergeCell ref="C20:D21"/>
    <mergeCell ref="E20:E21"/>
    <mergeCell ref="R20:S21"/>
    <mergeCell ref="T20:T21"/>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53:U53"/>
    <mergeCell ref="C54:U54"/>
    <mergeCell ref="C45:U45"/>
    <mergeCell ref="C47:D48"/>
    <mergeCell ref="E47:E48"/>
    <mergeCell ref="R47:S48"/>
    <mergeCell ref="T47:T4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107"/>
  <sheetViews>
    <sheetView showGridLines="0" topLeftCell="A25" zoomScaleNormal="100" workbookViewId="0">
      <selection activeCell="C34" sqref="C34:D35"/>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27" t="str">
        <f>R7&amp;"登録"</f>
        <v>患者ID一覧マスタ登録</v>
      </c>
      <c r="D4" s="128"/>
      <c r="E4" s="128"/>
      <c r="F4" s="128"/>
      <c r="G4" s="128"/>
      <c r="H4" s="128"/>
      <c r="I4" s="128"/>
      <c r="J4" s="128"/>
      <c r="K4" s="128"/>
      <c r="L4" s="128"/>
      <c r="M4" s="128"/>
      <c r="N4" s="128"/>
      <c r="O4" s="128"/>
      <c r="P4" s="128"/>
      <c r="Q4" s="128"/>
      <c r="R4" s="128"/>
      <c r="S4" s="128"/>
      <c r="T4" s="128"/>
      <c r="U4" s="129"/>
      <c r="W4" s="35" t="str">
        <f>"-- "&amp;C4</f>
        <v>-- 患者ID一覧マスタ登録</v>
      </c>
    </row>
    <row r="5" spans="2:23" ht="18.75" customHeight="1">
      <c r="B5" s="43" t="s">
        <v>159</v>
      </c>
      <c r="C5" s="116"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17"/>
      <c r="E5" s="117"/>
      <c r="F5" s="117"/>
      <c r="G5" s="117"/>
      <c r="H5" s="117"/>
      <c r="I5" s="117"/>
      <c r="J5" s="117"/>
      <c r="K5" s="117"/>
      <c r="L5" s="117"/>
      <c r="M5" s="117"/>
      <c r="N5" s="117"/>
      <c r="O5" s="117"/>
      <c r="P5" s="117"/>
      <c r="Q5" s="117"/>
      <c r="R5" s="117"/>
      <c r="S5" s="117"/>
      <c r="T5" s="117"/>
      <c r="U5" s="118"/>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9" t="s">
        <v>3825</v>
      </c>
      <c r="I7" s="120"/>
      <c r="J7" s="125" t="str">
        <f>エンティティ一覧!$O$2</f>
        <v>milscm_2023_007</v>
      </c>
      <c r="K7" s="36"/>
      <c r="M7" s="36"/>
      <c r="N7" s="36"/>
      <c r="O7" s="36"/>
      <c r="R7" s="119" t="s">
        <v>3745</v>
      </c>
      <c r="S7" s="120"/>
      <c r="T7" s="125" t="str">
        <f>エンティティ一覧!$O$2</f>
        <v>milscm_2023_007</v>
      </c>
    </row>
    <row r="8" spans="2:23" ht="18.75" customHeight="1">
      <c r="H8" s="121"/>
      <c r="I8" s="122"/>
      <c r="J8" s="126"/>
      <c r="K8" s="37"/>
      <c r="L8" s="38"/>
      <c r="M8" s="37"/>
      <c r="N8" s="37"/>
      <c r="O8" s="37"/>
      <c r="P8" s="37"/>
      <c r="Q8" s="38"/>
      <c r="R8" s="121"/>
      <c r="S8" s="122"/>
      <c r="T8" s="126"/>
    </row>
    <row r="9" spans="2:23" ht="18.75" customHeight="1">
      <c r="K9" s="39"/>
      <c r="L9" s="40"/>
      <c r="P9" s="39"/>
      <c r="Q9" s="40"/>
    </row>
    <row r="10" spans="2:23" ht="18.75" customHeight="1">
      <c r="C10" s="119" t="s">
        <v>3825</v>
      </c>
      <c r="D10" s="120"/>
      <c r="E10" s="125" t="str">
        <f>エンティティ一覧!$O$2</f>
        <v>milscm_2023_007</v>
      </c>
      <c r="H10" s="36"/>
      <c r="I10" s="36"/>
      <c r="J10" s="36"/>
      <c r="L10" s="41"/>
      <c r="P10" s="39"/>
      <c r="Q10" s="40"/>
    </row>
    <row r="11" spans="2:23" ht="18.75" customHeight="1">
      <c r="C11" s="121"/>
      <c r="D11" s="122"/>
      <c r="E11" s="126"/>
      <c r="F11" s="37"/>
      <c r="G11" s="38"/>
      <c r="H11" s="37"/>
      <c r="I11" s="37"/>
      <c r="J11" s="37"/>
      <c r="K11" s="37"/>
      <c r="P11" s="39"/>
      <c r="Q11" s="40"/>
    </row>
    <row r="12" spans="2:23" ht="18.75" customHeight="1">
      <c r="F12" s="39"/>
      <c r="G12" s="40"/>
      <c r="P12" s="39"/>
      <c r="Q12" s="40"/>
    </row>
    <row r="13" spans="2:23" ht="18.75" customHeight="1">
      <c r="C13" s="119" t="s">
        <v>174</v>
      </c>
      <c r="D13" s="120"/>
      <c r="E13" s="125" t="str">
        <f>エンティティ一覧!$O$2</f>
        <v>milscm_2023_007</v>
      </c>
      <c r="G13" s="41"/>
      <c r="P13" s="39"/>
      <c r="Q13" s="40"/>
    </row>
    <row r="14" spans="2:23" ht="18.75" customHeight="1">
      <c r="C14" s="121"/>
      <c r="D14" s="122"/>
      <c r="E14" s="126"/>
      <c r="F14" s="37"/>
      <c r="P14" s="39"/>
      <c r="Q14" s="40"/>
    </row>
    <row r="15" spans="2:23" ht="18.75" customHeight="1">
      <c r="P15" s="39"/>
      <c r="Q15" s="40"/>
    </row>
    <row r="16" spans="2:23" ht="18.75" customHeight="1">
      <c r="M16" s="119" t="s">
        <v>3677</v>
      </c>
      <c r="N16" s="120"/>
      <c r="O16" s="123" t="s">
        <v>162</v>
      </c>
      <c r="Q16" s="41"/>
    </row>
    <row r="17" spans="2:23" ht="18.75" customHeight="1">
      <c r="M17" s="121"/>
      <c r="N17" s="122"/>
      <c r="O17" s="124"/>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27" t="str">
        <f>R25&amp;"登録"</f>
        <v>施設マスタ登録</v>
      </c>
      <c r="D22" s="128"/>
      <c r="E22" s="128"/>
      <c r="F22" s="128"/>
      <c r="G22" s="128"/>
      <c r="H22" s="128"/>
      <c r="I22" s="128"/>
      <c r="J22" s="128"/>
      <c r="K22" s="128"/>
      <c r="L22" s="128"/>
      <c r="M22" s="128"/>
      <c r="N22" s="128"/>
      <c r="O22" s="128"/>
      <c r="P22" s="128"/>
      <c r="Q22" s="128"/>
      <c r="R22" s="128"/>
      <c r="S22" s="128"/>
      <c r="T22" s="128"/>
      <c r="U22" s="129"/>
      <c r="W22" s="35" t="str">
        <f>"-- "&amp;C22</f>
        <v>-- 施設マスタ登録</v>
      </c>
    </row>
    <row r="23" spans="2:23" ht="18.75" customHeight="1">
      <c r="B23" s="43" t="s">
        <v>159</v>
      </c>
      <c r="C23" s="116" t="str">
        <f>C25&amp;"テーブルに施設マスクIDを付与した結果を"&amp;R25&amp;"テーブルに格納する。"</f>
        <v>組入れ_対象施設テーブルに施設マスクIDを付与した結果を施設マスタテーブルに格納する。</v>
      </c>
      <c r="D23" s="117"/>
      <c r="E23" s="117"/>
      <c r="F23" s="117"/>
      <c r="G23" s="117"/>
      <c r="H23" s="117"/>
      <c r="I23" s="117"/>
      <c r="J23" s="117"/>
      <c r="K23" s="117"/>
      <c r="L23" s="117"/>
      <c r="M23" s="117"/>
      <c r="N23" s="117"/>
      <c r="O23" s="117"/>
      <c r="P23" s="117"/>
      <c r="Q23" s="117"/>
      <c r="R23" s="117"/>
      <c r="S23" s="117"/>
      <c r="T23" s="117"/>
      <c r="U23" s="118"/>
      <c r="W23" s="35" t="str">
        <f>"-- "&amp;C23</f>
        <v>-- 組入れ_対象施設テーブルに施設マスクIDを付与した結果を施設マスタテーブルに格納する。</v>
      </c>
    </row>
    <row r="25" spans="2:23" ht="18.75" customHeight="1">
      <c r="C25" s="119" t="s">
        <v>3679</v>
      </c>
      <c r="D25" s="120"/>
      <c r="E25" s="125" t="str">
        <f>エンティティ一覧!$O$2</f>
        <v>milscm_2023_007</v>
      </c>
      <c r="F25" s="36"/>
      <c r="G25" s="36"/>
      <c r="H25" s="36"/>
      <c r="I25" s="36"/>
      <c r="J25" s="36"/>
      <c r="K25" s="36"/>
      <c r="L25" s="36"/>
      <c r="M25" s="36"/>
      <c r="N25" s="36"/>
      <c r="O25" s="36"/>
      <c r="P25" s="36"/>
      <c r="Q25" s="36"/>
      <c r="R25" s="119" t="s">
        <v>3810</v>
      </c>
      <c r="S25" s="120"/>
      <c r="T25" s="125" t="str">
        <f>エンティティ一覧!$O$2</f>
        <v>milscm_2023_007</v>
      </c>
    </row>
    <row r="26" spans="2:23" ht="18.75" customHeight="1">
      <c r="C26" s="121"/>
      <c r="D26" s="122"/>
      <c r="E26" s="126"/>
      <c r="F26" s="37"/>
      <c r="G26" s="37"/>
      <c r="H26" s="37"/>
      <c r="I26" s="37"/>
      <c r="J26" s="37"/>
      <c r="K26" s="37"/>
      <c r="L26" s="37"/>
      <c r="M26" s="37"/>
      <c r="N26" s="37"/>
      <c r="O26" s="37"/>
      <c r="P26" s="37"/>
      <c r="Q26" s="37"/>
      <c r="R26" s="121"/>
      <c r="S26" s="122"/>
      <c r="T26" s="126"/>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27" t="str">
        <f>R34&amp;"登録"</f>
        <v>患者マスタ登録</v>
      </c>
      <c r="D31" s="128"/>
      <c r="E31" s="128"/>
      <c r="F31" s="128"/>
      <c r="G31" s="128"/>
      <c r="H31" s="128"/>
      <c r="I31" s="128"/>
      <c r="J31" s="128"/>
      <c r="K31" s="128"/>
      <c r="L31" s="128"/>
      <c r="M31" s="128"/>
      <c r="N31" s="128"/>
      <c r="O31" s="128"/>
      <c r="P31" s="128"/>
      <c r="Q31" s="128"/>
      <c r="R31" s="128"/>
      <c r="S31" s="128"/>
      <c r="T31" s="128"/>
      <c r="U31" s="129"/>
      <c r="W31" s="35" t="str">
        <f>"-- "&amp;C31</f>
        <v>-- 患者マスタ登録</v>
      </c>
    </row>
    <row r="32" spans="2:23" ht="18.75" customHeight="1">
      <c r="B32" s="43" t="s">
        <v>159</v>
      </c>
      <c r="C32" s="116"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17"/>
      <c r="E32" s="117"/>
      <c r="F32" s="117"/>
      <c r="G32" s="117"/>
      <c r="H32" s="117"/>
      <c r="I32" s="117"/>
      <c r="J32" s="117"/>
      <c r="K32" s="117"/>
      <c r="L32" s="117"/>
      <c r="M32" s="117"/>
      <c r="N32" s="117"/>
      <c r="O32" s="117"/>
      <c r="P32" s="117"/>
      <c r="Q32" s="117"/>
      <c r="R32" s="117"/>
      <c r="S32" s="117"/>
      <c r="T32" s="117"/>
      <c r="U32" s="118"/>
      <c r="W32" s="35" t="str">
        <f>"-- "&amp;C32</f>
        <v>-- 患者ID一覧マスタテーブルを施設IDと紐づけIDで集約し、マスクIDを付与した結果を患者マスタテーブルに格納する。</v>
      </c>
    </row>
    <row r="34" spans="2:21" ht="18.75" customHeight="1">
      <c r="C34" s="119" t="s">
        <v>3745</v>
      </c>
      <c r="D34" s="120"/>
      <c r="E34" s="125" t="str">
        <f>エンティティ一覧!$O$2</f>
        <v>milscm_2023_007</v>
      </c>
      <c r="F34" s="36"/>
      <c r="G34" s="36"/>
      <c r="H34" s="36"/>
      <c r="I34" s="36"/>
      <c r="J34" s="36"/>
      <c r="M34" s="36"/>
      <c r="N34" s="36"/>
      <c r="O34" s="36"/>
      <c r="P34" s="36"/>
      <c r="Q34" s="36"/>
      <c r="R34" s="119" t="s">
        <v>185</v>
      </c>
      <c r="S34" s="120"/>
      <c r="T34" s="125" t="str">
        <f>エンティティ一覧!$O$2</f>
        <v>milscm_2023_007</v>
      </c>
    </row>
    <row r="35" spans="2:21" ht="18.75" customHeight="1">
      <c r="C35" s="121"/>
      <c r="D35" s="122"/>
      <c r="E35" s="126"/>
      <c r="F35" s="37"/>
      <c r="G35" s="37"/>
      <c r="H35" s="37"/>
      <c r="I35" s="37"/>
      <c r="J35" s="37"/>
      <c r="K35" s="37"/>
      <c r="L35" s="38"/>
      <c r="M35" s="37"/>
      <c r="N35" s="37"/>
      <c r="O35" s="37"/>
      <c r="P35" s="37"/>
      <c r="Q35" s="37"/>
      <c r="R35" s="121"/>
      <c r="S35" s="122"/>
      <c r="T35" s="126"/>
    </row>
    <row r="36" spans="2:21" ht="18.75" customHeight="1">
      <c r="K36" s="39"/>
      <c r="L36" s="40"/>
    </row>
    <row r="37" spans="2:21" ht="18.75" customHeight="1">
      <c r="C37" s="119" t="s">
        <v>3812</v>
      </c>
      <c r="D37" s="120"/>
      <c r="E37" s="125" t="str">
        <f>エンティティ一覧!$O$2</f>
        <v>milscm_2023_007</v>
      </c>
      <c r="F37" s="36"/>
      <c r="G37" s="36"/>
      <c r="H37" s="36"/>
      <c r="I37" s="36"/>
      <c r="J37" s="36"/>
      <c r="L37" s="41"/>
    </row>
    <row r="38" spans="2:21" ht="18.75" customHeight="1">
      <c r="C38" s="121"/>
      <c r="D38" s="122"/>
      <c r="E38" s="126"/>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3862</v>
      </c>
      <c r="C42" s="51" t="s">
        <v>3864</v>
      </c>
      <c r="D42" s="94"/>
    </row>
    <row r="43" spans="2:21" ht="18.75" customHeight="1">
      <c r="B43" s="99" t="s">
        <v>3863</v>
      </c>
      <c r="C43" s="127" t="str">
        <f>R46&amp;"登録"</f>
        <v>疾患マスタ登録</v>
      </c>
      <c r="D43" s="128"/>
      <c r="E43" s="128"/>
      <c r="F43" s="128"/>
      <c r="G43" s="128"/>
      <c r="H43" s="128"/>
      <c r="I43" s="128"/>
      <c r="J43" s="128"/>
      <c r="K43" s="128"/>
      <c r="L43" s="128"/>
      <c r="M43" s="128"/>
      <c r="N43" s="128"/>
      <c r="O43" s="128"/>
      <c r="P43" s="128"/>
      <c r="Q43" s="128"/>
      <c r="R43" s="128"/>
      <c r="S43" s="128"/>
      <c r="T43" s="128"/>
      <c r="U43" s="129"/>
    </row>
    <row r="44" spans="2:21" ht="18.75" customHeight="1">
      <c r="B44" s="99" t="s">
        <v>159</v>
      </c>
      <c r="C44" s="116" t="str">
        <f>C46&amp;"ファイルの内容を"&amp;R46&amp;"テーブルに格納する。"</f>
        <v>疾患マスタファイルの内容を疾患マスタテーブルに格納する。</v>
      </c>
      <c r="D44" s="117"/>
      <c r="E44" s="117"/>
      <c r="F44" s="117"/>
      <c r="G44" s="117"/>
      <c r="H44" s="117"/>
      <c r="I44" s="117"/>
      <c r="J44" s="117"/>
      <c r="K44" s="117"/>
      <c r="L44" s="117"/>
      <c r="M44" s="117"/>
      <c r="N44" s="117"/>
      <c r="O44" s="117"/>
      <c r="P44" s="117"/>
      <c r="Q44" s="117"/>
      <c r="R44" s="117"/>
      <c r="S44" s="117"/>
      <c r="T44" s="117"/>
      <c r="U44" s="118"/>
    </row>
    <row r="46" spans="2:21" ht="18.75" customHeight="1">
      <c r="C46" s="119" t="s">
        <v>3829</v>
      </c>
      <c r="D46" s="120"/>
      <c r="E46" s="125" t="s">
        <v>176</v>
      </c>
      <c r="F46" s="36"/>
      <c r="G46" s="36"/>
      <c r="H46" s="36"/>
      <c r="I46" s="36"/>
      <c r="J46" s="36"/>
      <c r="K46" s="36"/>
      <c r="L46" s="36"/>
      <c r="M46" s="36"/>
      <c r="N46" s="36"/>
      <c r="O46" s="36"/>
      <c r="P46" s="36"/>
      <c r="Q46" s="36"/>
      <c r="R46" s="119" t="s">
        <v>3829</v>
      </c>
      <c r="S46" s="120"/>
      <c r="T46" s="125" t="str">
        <f>エンティティ一覧!$O$2</f>
        <v>milscm_2023_007</v>
      </c>
    </row>
    <row r="47" spans="2:21" ht="18.75" customHeight="1">
      <c r="C47" s="121"/>
      <c r="D47" s="122"/>
      <c r="E47" s="126"/>
      <c r="F47" s="37"/>
      <c r="G47" s="37"/>
      <c r="H47" s="37"/>
      <c r="I47" s="37"/>
      <c r="J47" s="37"/>
      <c r="K47" s="37"/>
      <c r="L47" s="37"/>
      <c r="M47" s="37"/>
      <c r="N47" s="37"/>
      <c r="O47" s="37"/>
      <c r="P47" s="37"/>
      <c r="Q47" s="37"/>
      <c r="R47" s="121"/>
      <c r="S47" s="122"/>
      <c r="T47" s="126"/>
    </row>
    <row r="48" spans="2:21" ht="18.75" customHeight="1">
      <c r="C48" s="35" t="s">
        <v>3865</v>
      </c>
      <c r="H48" s="100"/>
    </row>
    <row r="49" spans="2:23" ht="18.75" customHeight="1">
      <c r="H49" s="100"/>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99" t="s">
        <v>3862</v>
      </c>
      <c r="C52" s="51" t="s">
        <v>3866</v>
      </c>
      <c r="D52" s="94"/>
    </row>
    <row r="53" spans="2:23" ht="18.75" customHeight="1">
      <c r="B53" s="99" t="s">
        <v>3863</v>
      </c>
      <c r="C53" s="127" t="str">
        <f>R56&amp;"登録"</f>
        <v>薬剤マスタ登録</v>
      </c>
      <c r="D53" s="128"/>
      <c r="E53" s="128"/>
      <c r="F53" s="128"/>
      <c r="G53" s="128"/>
      <c r="H53" s="128"/>
      <c r="I53" s="128"/>
      <c r="J53" s="128"/>
      <c r="K53" s="128"/>
      <c r="L53" s="128"/>
      <c r="M53" s="128"/>
      <c r="N53" s="128"/>
      <c r="O53" s="128"/>
      <c r="P53" s="128"/>
      <c r="Q53" s="128"/>
      <c r="R53" s="128"/>
      <c r="S53" s="128"/>
      <c r="T53" s="128"/>
      <c r="U53" s="129"/>
    </row>
    <row r="54" spans="2:23" ht="18.75" customHeight="1">
      <c r="B54" s="99" t="s">
        <v>159</v>
      </c>
      <c r="C54" s="116" t="str">
        <f>C56&amp;"ファイルの内容を"&amp;R56&amp;"テーブルに格納する。"</f>
        <v>薬剤マスタファイルの内容を薬剤マスタテーブルに格納する。</v>
      </c>
      <c r="D54" s="117"/>
      <c r="E54" s="117"/>
      <c r="F54" s="117"/>
      <c r="G54" s="117"/>
      <c r="H54" s="117"/>
      <c r="I54" s="117"/>
      <c r="J54" s="117"/>
      <c r="K54" s="117"/>
      <c r="L54" s="117"/>
      <c r="M54" s="117"/>
      <c r="N54" s="117"/>
      <c r="O54" s="117"/>
      <c r="P54" s="117"/>
      <c r="Q54" s="117"/>
      <c r="R54" s="117"/>
      <c r="S54" s="117"/>
      <c r="T54" s="117"/>
      <c r="U54" s="118"/>
    </row>
    <row r="56" spans="2:23" ht="18.75" customHeight="1">
      <c r="C56" s="119" t="s">
        <v>3830</v>
      </c>
      <c r="D56" s="120"/>
      <c r="E56" s="125" t="s">
        <v>176</v>
      </c>
      <c r="F56" s="36"/>
      <c r="G56" s="36"/>
      <c r="H56" s="36"/>
      <c r="I56" s="36"/>
      <c r="J56" s="36"/>
      <c r="K56" s="36"/>
      <c r="L56" s="36"/>
      <c r="M56" s="36"/>
      <c r="N56" s="36"/>
      <c r="O56" s="36"/>
      <c r="P56" s="36"/>
      <c r="Q56" s="36"/>
      <c r="R56" s="119" t="s">
        <v>3830</v>
      </c>
      <c r="S56" s="120"/>
      <c r="T56" s="125" t="str">
        <f>エンティティ一覧!$O$2</f>
        <v>milscm_2023_007</v>
      </c>
    </row>
    <row r="57" spans="2:23" ht="18.75" customHeight="1">
      <c r="C57" s="121"/>
      <c r="D57" s="122"/>
      <c r="E57" s="126"/>
      <c r="F57" s="37"/>
      <c r="G57" s="37"/>
      <c r="H57" s="37"/>
      <c r="I57" s="37"/>
      <c r="J57" s="37"/>
      <c r="K57" s="37"/>
      <c r="L57" s="37"/>
      <c r="M57" s="37"/>
      <c r="N57" s="37"/>
      <c r="O57" s="37"/>
      <c r="P57" s="37"/>
      <c r="Q57" s="37"/>
      <c r="R57" s="121"/>
      <c r="S57" s="122"/>
      <c r="T57" s="126"/>
    </row>
    <row r="58" spans="2:23" ht="18.75" customHeight="1">
      <c r="C58" s="35" t="s">
        <v>3867</v>
      </c>
      <c r="H58" s="100"/>
    </row>
    <row r="59" spans="2:23" ht="18.75" customHeight="1">
      <c r="H59" s="100"/>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3896</v>
      </c>
      <c r="D62" s="109"/>
      <c r="W62" s="35" t="str">
        <f>"-- "&amp;B62&amp;" : "&amp;C62</f>
        <v>-- SQL_ID : 21_06</v>
      </c>
    </row>
    <row r="63" spans="2:23" ht="18.75" customHeight="1">
      <c r="B63" s="43" t="s">
        <v>158</v>
      </c>
      <c r="C63" s="127" t="str">
        <f>R66&amp;"登録"</f>
        <v>MML薬剤名一覧登録</v>
      </c>
      <c r="D63" s="128"/>
      <c r="E63" s="128"/>
      <c r="F63" s="128"/>
      <c r="G63" s="128"/>
      <c r="H63" s="128"/>
      <c r="I63" s="128"/>
      <c r="J63" s="128"/>
      <c r="K63" s="128"/>
      <c r="L63" s="128"/>
      <c r="M63" s="128"/>
      <c r="N63" s="128"/>
      <c r="O63" s="128"/>
      <c r="P63" s="128"/>
      <c r="Q63" s="128"/>
      <c r="R63" s="128"/>
      <c r="S63" s="128"/>
      <c r="T63" s="128"/>
      <c r="U63" s="129"/>
      <c r="W63" s="35" t="str">
        <f>"-- "&amp;C63</f>
        <v>-- MML薬剤名一覧登録</v>
      </c>
    </row>
    <row r="64" spans="2:23" ht="18.75" customHeight="1">
      <c r="B64" s="43" t="s">
        <v>159</v>
      </c>
      <c r="C64" s="116" t="str">
        <f>"MMLの処方テーブルから対象患者の薬剤名一覧を抽出した結果を"&amp;R66&amp;"テーブルに格納する。"</f>
        <v>MMLの処方テーブルから対象患者の薬剤名一覧を抽出した結果をMML薬剤名一覧テーブルに格納する。</v>
      </c>
      <c r="D64" s="117"/>
      <c r="E64" s="117"/>
      <c r="F64" s="117"/>
      <c r="G64" s="117"/>
      <c r="H64" s="117"/>
      <c r="I64" s="117"/>
      <c r="J64" s="117"/>
      <c r="K64" s="117"/>
      <c r="L64" s="117"/>
      <c r="M64" s="117"/>
      <c r="N64" s="117"/>
      <c r="O64" s="117"/>
      <c r="P64" s="117"/>
      <c r="Q64" s="117"/>
      <c r="R64" s="117"/>
      <c r="S64" s="117"/>
      <c r="T64" s="117"/>
      <c r="U64" s="118"/>
      <c r="W64" s="35" t="str">
        <f>"-- "&amp;C64</f>
        <v>-- MMLの処方テーブルから対象患者の薬剤名一覧を抽出した結果をMML薬剤名一覧テーブルに格納する。</v>
      </c>
    </row>
    <row r="66" spans="2:23" ht="18.75" customHeight="1">
      <c r="H66" s="119" t="s">
        <v>4159</v>
      </c>
      <c r="I66" s="120"/>
      <c r="J66" s="125" t="str">
        <f>エンティティ一覧!$O$2</f>
        <v>milscm_2023_007</v>
      </c>
      <c r="O66" s="36"/>
      <c r="P66" s="36"/>
      <c r="Q66" s="36"/>
      <c r="R66" s="119" t="s">
        <v>4165</v>
      </c>
      <c r="S66" s="120"/>
      <c r="T66" s="125" t="str">
        <f>エンティティ一覧!$O$2</f>
        <v>milscm_2023_007</v>
      </c>
    </row>
    <row r="67" spans="2:23" ht="18.75" customHeight="1">
      <c r="H67" s="121"/>
      <c r="I67" s="122"/>
      <c r="J67" s="126"/>
      <c r="K67" s="37"/>
      <c r="L67" s="38"/>
      <c r="M67" s="37"/>
      <c r="N67" s="38"/>
      <c r="O67" s="37"/>
      <c r="P67" s="37"/>
      <c r="Q67" s="37"/>
      <c r="R67" s="121"/>
      <c r="S67" s="122"/>
      <c r="T67" s="126"/>
    </row>
    <row r="68" spans="2:23" ht="18.75" customHeight="1">
      <c r="K68" s="39"/>
      <c r="L68" s="40"/>
      <c r="M68" s="39"/>
      <c r="N68" s="40"/>
    </row>
    <row r="69" spans="2:23" ht="18.75" customHeight="1">
      <c r="C69" s="119" t="s">
        <v>3745</v>
      </c>
      <c r="D69" s="120"/>
      <c r="E69" s="125" t="str">
        <f>エンティティ一覧!$O$2</f>
        <v>milscm_2023_007</v>
      </c>
      <c r="H69" s="36"/>
      <c r="I69" s="36"/>
      <c r="J69" s="36"/>
      <c r="L69" s="41"/>
      <c r="M69" s="39"/>
      <c r="N69" s="40"/>
    </row>
    <row r="70" spans="2:23" ht="18.75" customHeight="1">
      <c r="C70" s="121"/>
      <c r="D70" s="122"/>
      <c r="E70" s="126"/>
      <c r="F70" s="37"/>
      <c r="G70" s="38"/>
      <c r="H70" s="37"/>
      <c r="I70" s="37"/>
      <c r="J70" s="37"/>
      <c r="K70" s="37"/>
      <c r="M70" s="39"/>
      <c r="N70" s="40"/>
    </row>
    <row r="71" spans="2:23" ht="18.75" customHeight="1">
      <c r="F71" s="39"/>
      <c r="G71" s="40"/>
      <c r="M71" s="39"/>
      <c r="N71" s="40"/>
    </row>
    <row r="72" spans="2:23" ht="18.75" customHeight="1">
      <c r="C72" s="119" t="s">
        <v>185</v>
      </c>
      <c r="D72" s="120"/>
      <c r="E72" s="125" t="str">
        <f>エンティティ一覧!$O$2</f>
        <v>milscm_2023_007</v>
      </c>
      <c r="G72" s="41"/>
      <c r="M72" s="39"/>
      <c r="N72" s="40"/>
    </row>
    <row r="73" spans="2:23" ht="18.75" customHeight="1">
      <c r="C73" s="121"/>
      <c r="D73" s="122"/>
      <c r="E73" s="126"/>
      <c r="F73" s="37"/>
      <c r="M73" s="39"/>
      <c r="N73" s="40"/>
    </row>
    <row r="74" spans="2:23" ht="18.75" customHeight="1">
      <c r="M74" s="39"/>
      <c r="N74" s="40"/>
    </row>
    <row r="75" spans="2:23" ht="18.75" customHeight="1">
      <c r="H75" s="119" t="s">
        <v>4160</v>
      </c>
      <c r="I75" s="120"/>
      <c r="J75" s="125" t="str">
        <f>エンティティ一覧!$O$2</f>
        <v>milscm_2023_007</v>
      </c>
      <c r="K75" s="36"/>
      <c r="L75" s="36"/>
      <c r="M75" s="36"/>
      <c r="N75" s="41"/>
    </row>
    <row r="76" spans="2:23" ht="18.75" customHeight="1">
      <c r="H76" s="121"/>
      <c r="I76" s="122"/>
      <c r="J76" s="126"/>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99" t="s">
        <v>3862</v>
      </c>
      <c r="C80" s="51" t="s">
        <v>4158</v>
      </c>
      <c r="D80" s="109"/>
      <c r="W80" s="35" t="str">
        <f>"-- "&amp;B80&amp;" : "&amp;C80</f>
        <v>-- 処理ID : 21_07</v>
      </c>
    </row>
    <row r="81" spans="2:23" ht="18.75" customHeight="1">
      <c r="B81" s="99" t="s">
        <v>3863</v>
      </c>
      <c r="C81" s="127" t="str">
        <f>R84&amp;"登録"</f>
        <v>MML薬剤マスタ登録</v>
      </c>
      <c r="D81" s="128"/>
      <c r="E81" s="128"/>
      <c r="F81" s="128"/>
      <c r="G81" s="128"/>
      <c r="H81" s="128"/>
      <c r="I81" s="128"/>
      <c r="J81" s="128"/>
      <c r="K81" s="128"/>
      <c r="L81" s="128"/>
      <c r="M81" s="128"/>
      <c r="N81" s="128"/>
      <c r="O81" s="128"/>
      <c r="P81" s="128"/>
      <c r="Q81" s="128"/>
      <c r="R81" s="128"/>
      <c r="S81" s="128"/>
      <c r="T81" s="128"/>
      <c r="U81" s="129"/>
      <c r="W81" s="35" t="str">
        <f>"-- "&amp;C81</f>
        <v>-- MML薬剤マスタ登録</v>
      </c>
    </row>
    <row r="82" spans="2:23" ht="18.75" customHeight="1">
      <c r="B82" s="99" t="s">
        <v>159</v>
      </c>
      <c r="C82" s="116" t="str">
        <f>C84&amp;"テーブルからアシテア、ミティキュアで絞り込んだ結果を"&amp;R84&amp;"テーブルに格納する。"</f>
        <v>MML薬剤名一覧テーブルからアシテア、ミティキュアで絞り込んだ結果をMML薬剤マスタテーブルに格納する。</v>
      </c>
      <c r="D82" s="117"/>
      <c r="E82" s="117"/>
      <c r="F82" s="117"/>
      <c r="G82" s="117"/>
      <c r="H82" s="117"/>
      <c r="I82" s="117"/>
      <c r="J82" s="117"/>
      <c r="K82" s="117"/>
      <c r="L82" s="117"/>
      <c r="M82" s="117"/>
      <c r="N82" s="117"/>
      <c r="O82" s="117"/>
      <c r="P82" s="117"/>
      <c r="Q82" s="117"/>
      <c r="R82" s="117"/>
      <c r="S82" s="117"/>
      <c r="T82" s="117"/>
      <c r="U82" s="118"/>
      <c r="W82" s="35" t="str">
        <f>"-- "&amp;C82</f>
        <v>-- MML薬剤名一覧テーブルからアシテア、ミティキュアで絞り込んだ結果をMML薬剤マスタテーブルに格納する。</v>
      </c>
    </row>
    <row r="84" spans="2:23" ht="18.75" customHeight="1">
      <c r="C84" s="119" t="s">
        <v>4165</v>
      </c>
      <c r="D84" s="120"/>
      <c r="E84" s="125" t="str">
        <f>エンティティ一覧!$O$2</f>
        <v>milscm_2023_007</v>
      </c>
      <c r="F84" s="36"/>
      <c r="G84" s="36"/>
      <c r="H84" s="36"/>
      <c r="I84" s="36"/>
      <c r="J84" s="36"/>
      <c r="K84" s="36"/>
      <c r="L84" s="36"/>
      <c r="M84" s="36"/>
      <c r="N84" s="36"/>
      <c r="O84" s="36"/>
      <c r="P84" s="36"/>
      <c r="Q84" s="36"/>
      <c r="R84" s="119" t="s">
        <v>4135</v>
      </c>
      <c r="S84" s="120"/>
      <c r="T84" s="125" t="str">
        <f>エンティティ一覧!$O$2</f>
        <v>milscm_2023_007</v>
      </c>
    </row>
    <row r="85" spans="2:23" ht="18.75" customHeight="1">
      <c r="C85" s="121"/>
      <c r="D85" s="122"/>
      <c r="E85" s="126"/>
      <c r="F85" s="37"/>
      <c r="G85" s="37"/>
      <c r="H85" s="37"/>
      <c r="I85" s="37"/>
      <c r="J85" s="37"/>
      <c r="K85" s="37"/>
      <c r="L85" s="37"/>
      <c r="M85" s="37"/>
      <c r="N85" s="37"/>
      <c r="O85" s="37"/>
      <c r="P85" s="37"/>
      <c r="Q85" s="37"/>
      <c r="R85" s="121"/>
      <c r="S85" s="122"/>
      <c r="T85" s="126"/>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99" t="s">
        <v>3862</v>
      </c>
      <c r="C89" s="51" t="s">
        <v>4161</v>
      </c>
      <c r="D89" s="109"/>
    </row>
    <row r="90" spans="2:23" ht="18.75" customHeight="1">
      <c r="B90" s="99" t="s">
        <v>3863</v>
      </c>
      <c r="C90" s="127" t="str">
        <f>R93&amp;"登録"</f>
        <v>診療行為マスタ登録</v>
      </c>
      <c r="D90" s="128"/>
      <c r="E90" s="128"/>
      <c r="F90" s="128"/>
      <c r="G90" s="128"/>
      <c r="H90" s="128"/>
      <c r="I90" s="128"/>
      <c r="J90" s="128"/>
      <c r="K90" s="128"/>
      <c r="L90" s="128"/>
      <c r="M90" s="128"/>
      <c r="N90" s="128"/>
      <c r="O90" s="128"/>
      <c r="P90" s="128"/>
      <c r="Q90" s="128"/>
      <c r="R90" s="128"/>
      <c r="S90" s="128"/>
      <c r="T90" s="128"/>
      <c r="U90" s="129"/>
    </row>
    <row r="91" spans="2:23" ht="18.75" customHeight="1">
      <c r="B91" s="99" t="s">
        <v>159</v>
      </c>
      <c r="C91" s="116" t="str">
        <f>C93&amp;"ファイルの内容を"&amp;R93&amp;"テーブルに格納する。"</f>
        <v>診療行為マスタファイルの内容を診療行為マスタテーブルに格納する。</v>
      </c>
      <c r="D91" s="117"/>
      <c r="E91" s="117"/>
      <c r="F91" s="117"/>
      <c r="G91" s="117"/>
      <c r="H91" s="117"/>
      <c r="I91" s="117"/>
      <c r="J91" s="117"/>
      <c r="K91" s="117"/>
      <c r="L91" s="117"/>
      <c r="M91" s="117"/>
      <c r="N91" s="117"/>
      <c r="O91" s="117"/>
      <c r="P91" s="117"/>
      <c r="Q91" s="117"/>
      <c r="R91" s="117"/>
      <c r="S91" s="117"/>
      <c r="T91" s="117"/>
      <c r="U91" s="118"/>
    </row>
    <row r="93" spans="2:23" ht="18.75" customHeight="1">
      <c r="C93" s="119" t="s">
        <v>4172</v>
      </c>
      <c r="D93" s="120"/>
      <c r="E93" s="125" t="s">
        <v>176</v>
      </c>
      <c r="F93" s="36"/>
      <c r="G93" s="36"/>
      <c r="H93" s="36"/>
      <c r="I93" s="36"/>
      <c r="J93" s="36"/>
      <c r="K93" s="36"/>
      <c r="L93" s="36"/>
      <c r="M93" s="36"/>
      <c r="N93" s="36"/>
      <c r="O93" s="36"/>
      <c r="P93" s="36"/>
      <c r="Q93" s="36"/>
      <c r="R93" s="119" t="s">
        <v>4173</v>
      </c>
      <c r="S93" s="120"/>
      <c r="T93" s="125" t="str">
        <f>エンティティ一覧!$O$2</f>
        <v>milscm_2023_007</v>
      </c>
    </row>
    <row r="94" spans="2:23" ht="18.75" customHeight="1">
      <c r="C94" s="121"/>
      <c r="D94" s="122"/>
      <c r="E94" s="126"/>
      <c r="F94" s="37"/>
      <c r="G94" s="37"/>
      <c r="H94" s="37"/>
      <c r="I94" s="37"/>
      <c r="J94" s="37"/>
      <c r="K94" s="37"/>
      <c r="L94" s="37"/>
      <c r="M94" s="37"/>
      <c r="N94" s="37"/>
      <c r="O94" s="37"/>
      <c r="P94" s="37"/>
      <c r="Q94" s="37"/>
      <c r="R94" s="121"/>
      <c r="S94" s="122"/>
      <c r="T94" s="126"/>
    </row>
    <row r="95" spans="2:23" ht="18.75" customHeight="1">
      <c r="C95" s="35" t="s">
        <v>4177</v>
      </c>
      <c r="H95" s="100"/>
    </row>
    <row r="96" spans="2:23" ht="18.75" customHeight="1">
      <c r="H96" s="100"/>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99" t="s">
        <v>3862</v>
      </c>
      <c r="C99" s="51" t="s">
        <v>4176</v>
      </c>
      <c r="D99" s="94"/>
    </row>
    <row r="100" spans="2:21" ht="18.75" customHeight="1">
      <c r="B100" s="99" t="s">
        <v>3863</v>
      </c>
      <c r="C100" s="127" t="str">
        <f>R103&amp;"登録"</f>
        <v>検体検査マスタ登録</v>
      </c>
      <c r="D100" s="128"/>
      <c r="E100" s="128"/>
      <c r="F100" s="128"/>
      <c r="G100" s="128"/>
      <c r="H100" s="128"/>
      <c r="I100" s="128"/>
      <c r="J100" s="128"/>
      <c r="K100" s="128"/>
      <c r="L100" s="128"/>
      <c r="M100" s="128"/>
      <c r="N100" s="128"/>
      <c r="O100" s="128"/>
      <c r="P100" s="128"/>
      <c r="Q100" s="128"/>
      <c r="R100" s="128"/>
      <c r="S100" s="128"/>
      <c r="T100" s="128"/>
      <c r="U100" s="129"/>
    </row>
    <row r="101" spans="2:21" ht="18.75" customHeight="1">
      <c r="B101" s="99" t="s">
        <v>159</v>
      </c>
      <c r="C101" s="116" t="str">
        <f>C103&amp;"ファイルの内容を"&amp;R103&amp;"テーブルに格納する。"</f>
        <v>検体検査マスタファイルの内容を検体検査マスタテーブルに格納する。</v>
      </c>
      <c r="D101" s="117"/>
      <c r="E101" s="117"/>
      <c r="F101" s="117"/>
      <c r="G101" s="117"/>
      <c r="H101" s="117"/>
      <c r="I101" s="117"/>
      <c r="J101" s="117"/>
      <c r="K101" s="117"/>
      <c r="L101" s="117"/>
      <c r="M101" s="117"/>
      <c r="N101" s="117"/>
      <c r="O101" s="117"/>
      <c r="P101" s="117"/>
      <c r="Q101" s="117"/>
      <c r="R101" s="117"/>
      <c r="S101" s="117"/>
      <c r="T101" s="117"/>
      <c r="U101" s="118"/>
    </row>
    <row r="103" spans="2:21" ht="18.75" customHeight="1">
      <c r="C103" s="119" t="s">
        <v>3831</v>
      </c>
      <c r="D103" s="120"/>
      <c r="E103" s="125" t="s">
        <v>176</v>
      </c>
      <c r="F103" s="36"/>
      <c r="G103" s="36"/>
      <c r="H103" s="36"/>
      <c r="I103" s="36"/>
      <c r="J103" s="36"/>
      <c r="K103" s="36"/>
      <c r="L103" s="36"/>
      <c r="M103" s="36"/>
      <c r="N103" s="36"/>
      <c r="O103" s="36"/>
      <c r="P103" s="36"/>
      <c r="Q103" s="36"/>
      <c r="R103" s="119" t="s">
        <v>3831</v>
      </c>
      <c r="S103" s="120"/>
      <c r="T103" s="125" t="str">
        <f>エンティティ一覧!$O$2</f>
        <v>milscm_2023_007</v>
      </c>
    </row>
    <row r="104" spans="2:21" ht="18.75" customHeight="1">
      <c r="C104" s="121"/>
      <c r="D104" s="122"/>
      <c r="E104" s="126"/>
      <c r="F104" s="37"/>
      <c r="G104" s="37"/>
      <c r="H104" s="37"/>
      <c r="I104" s="37"/>
      <c r="J104" s="37"/>
      <c r="K104" s="37"/>
      <c r="L104" s="37"/>
      <c r="M104" s="37"/>
      <c r="N104" s="37"/>
      <c r="O104" s="37"/>
      <c r="P104" s="37"/>
      <c r="Q104" s="37"/>
      <c r="R104" s="121"/>
      <c r="S104" s="122"/>
      <c r="T104" s="126"/>
    </row>
    <row r="105" spans="2:21" ht="18.75" customHeight="1">
      <c r="C105" s="35" t="s">
        <v>3897</v>
      </c>
      <c r="H105" s="100"/>
    </row>
    <row r="106" spans="2:21" ht="18.75" customHeight="1">
      <c r="H106" s="100"/>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25:D26"/>
    <mergeCell ref="C22:U22"/>
    <mergeCell ref="C23:U23"/>
    <mergeCell ref="R25:S26"/>
    <mergeCell ref="C37:D38"/>
    <mergeCell ref="E37:E38"/>
    <mergeCell ref="C31:U31"/>
    <mergeCell ref="C32:U32"/>
    <mergeCell ref="C34:D35"/>
    <mergeCell ref="E34:E35"/>
    <mergeCell ref="R34:S35"/>
    <mergeCell ref="T34:T35"/>
    <mergeCell ref="C53:U53"/>
    <mergeCell ref="C54:U54"/>
    <mergeCell ref="C56:D57"/>
    <mergeCell ref="E56:E57"/>
    <mergeCell ref="R56:S57"/>
    <mergeCell ref="T56:T57"/>
    <mergeCell ref="C43:U43"/>
    <mergeCell ref="C44:U44"/>
    <mergeCell ref="C46:D47"/>
    <mergeCell ref="E46:E47"/>
    <mergeCell ref="R46:S47"/>
    <mergeCell ref="T46:T47"/>
    <mergeCell ref="C100:U100"/>
    <mergeCell ref="C101:U101"/>
    <mergeCell ref="C103:D104"/>
    <mergeCell ref="E103:E104"/>
    <mergeCell ref="R103:S104"/>
    <mergeCell ref="T103:T104"/>
    <mergeCell ref="C63:U63"/>
    <mergeCell ref="C64:U64"/>
    <mergeCell ref="H66:I67"/>
    <mergeCell ref="J66:J67"/>
    <mergeCell ref="R66:S67"/>
    <mergeCell ref="T66:T67"/>
    <mergeCell ref="C93:D94"/>
    <mergeCell ref="E93:E94"/>
    <mergeCell ref="R93:S94"/>
    <mergeCell ref="T93:T94"/>
    <mergeCell ref="H75:I76"/>
    <mergeCell ref="J75:J76"/>
    <mergeCell ref="C90:U90"/>
    <mergeCell ref="C81:U81"/>
    <mergeCell ref="C82:U82"/>
    <mergeCell ref="C84:D85"/>
    <mergeCell ref="E84:E85"/>
    <mergeCell ref="R84:S85"/>
    <mergeCell ref="T84:T85"/>
    <mergeCell ref="C69:D70"/>
    <mergeCell ref="E69:E70"/>
    <mergeCell ref="C72:D73"/>
    <mergeCell ref="E72:E73"/>
    <mergeCell ref="C91:U9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45"/>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3753</v>
      </c>
      <c r="D3" s="90"/>
      <c r="W3" s="35" t="str">
        <f>"-- "&amp;B3&amp;" : "&amp;C3</f>
        <v>-- SQL_ID : 31_A1-02</v>
      </c>
    </row>
    <row r="4" spans="2:23" ht="18.75" customHeight="1">
      <c r="B4" s="43" t="s">
        <v>158</v>
      </c>
      <c r="C4" s="127" t="str">
        <f>R7&amp;"登録"</f>
        <v>ベース_処方データ登録</v>
      </c>
      <c r="D4" s="128"/>
      <c r="E4" s="128"/>
      <c r="F4" s="128"/>
      <c r="G4" s="128"/>
      <c r="H4" s="128"/>
      <c r="I4" s="128"/>
      <c r="J4" s="128"/>
      <c r="K4" s="128"/>
      <c r="L4" s="128"/>
      <c r="M4" s="128"/>
      <c r="N4" s="128"/>
      <c r="O4" s="128"/>
      <c r="P4" s="128"/>
      <c r="Q4" s="128"/>
      <c r="R4" s="128"/>
      <c r="S4" s="128"/>
      <c r="T4" s="128"/>
      <c r="U4" s="129"/>
      <c r="W4" s="35" t="str">
        <f>"-- "&amp;C4</f>
        <v>-- ベース_処方データ登録</v>
      </c>
    </row>
    <row r="5" spans="2:23" ht="18.75" customHeight="1">
      <c r="B5" s="43" t="s">
        <v>159</v>
      </c>
      <c r="C5" s="116" t="str">
        <f>C7&amp;"テーブルから対象患者で絞り込んだ結果を"&amp;R7&amp;"テーブルに格納する。"</f>
        <v>バックアップ_処方データテーブルから対象患者で絞り込んだ結果をベース_処方データテーブルに格納する。</v>
      </c>
      <c r="D5" s="117"/>
      <c r="E5" s="117"/>
      <c r="F5" s="117"/>
      <c r="G5" s="117"/>
      <c r="H5" s="117"/>
      <c r="I5" s="117"/>
      <c r="J5" s="117"/>
      <c r="K5" s="117"/>
      <c r="L5" s="117"/>
      <c r="M5" s="117"/>
      <c r="N5" s="117"/>
      <c r="O5" s="117"/>
      <c r="P5" s="117"/>
      <c r="Q5" s="117"/>
      <c r="R5" s="117"/>
      <c r="S5" s="117"/>
      <c r="T5" s="117"/>
      <c r="U5" s="118"/>
      <c r="W5" s="35" t="str">
        <f>"-- "&amp;C5</f>
        <v>-- バックアップ_処方データテーブルから対象患者で絞り込んだ結果をベース_処方データテーブルに格納する。</v>
      </c>
    </row>
    <row r="7" spans="2:23" ht="18.75" customHeight="1">
      <c r="C7" s="119" t="s">
        <v>3752</v>
      </c>
      <c r="D7" s="120"/>
      <c r="E7" s="125" t="str">
        <f>エンティティ一覧!$O$2</f>
        <v>milscm_2023_007</v>
      </c>
      <c r="H7" s="36"/>
      <c r="I7" s="36"/>
      <c r="J7" s="36"/>
      <c r="K7" s="36"/>
      <c r="L7" s="36"/>
      <c r="M7" s="36"/>
      <c r="N7" s="36"/>
      <c r="O7" s="36"/>
      <c r="P7" s="36"/>
      <c r="Q7" s="36"/>
      <c r="R7" s="119" t="str">
        <f>"ベース"&amp;SUBSTITUTE(C7,"バックアップ","")</f>
        <v>ベース_処方データ</v>
      </c>
      <c r="S7" s="120"/>
      <c r="T7" s="125" t="str">
        <f>エンティティ一覧!$O$2</f>
        <v>milscm_2023_007</v>
      </c>
    </row>
    <row r="8" spans="2:23" ht="18.75" customHeight="1">
      <c r="C8" s="121"/>
      <c r="D8" s="122"/>
      <c r="E8" s="126"/>
      <c r="F8" s="37"/>
      <c r="G8" s="38"/>
      <c r="H8" s="37"/>
      <c r="I8" s="37"/>
      <c r="J8" s="37"/>
      <c r="K8" s="37"/>
      <c r="L8" s="37"/>
      <c r="M8" s="37"/>
      <c r="N8" s="37"/>
      <c r="O8" s="37"/>
      <c r="P8" s="37"/>
      <c r="Q8" s="37"/>
      <c r="R8" s="121"/>
      <c r="S8" s="122"/>
      <c r="T8" s="126"/>
    </row>
    <row r="9" spans="2:23" ht="18.75" customHeight="1">
      <c r="F9" s="39"/>
      <c r="G9" s="40"/>
    </row>
    <row r="10" spans="2:23" ht="18.75" customHeight="1">
      <c r="C10" s="119" t="s">
        <v>3751</v>
      </c>
      <c r="D10" s="120"/>
      <c r="E10" s="125" t="str">
        <f>エンティティ一覧!$O$2</f>
        <v>milscm_2023_007</v>
      </c>
      <c r="G10" s="41"/>
    </row>
    <row r="11" spans="2:23" ht="18.75" customHeight="1">
      <c r="C11" s="121"/>
      <c r="D11" s="122"/>
      <c r="E11" s="126"/>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3755</v>
      </c>
      <c r="D15" s="90"/>
      <c r="W15" s="35" t="str">
        <f>"-- "&amp;B15&amp;" : "&amp;C15</f>
        <v>-- SQL_ID : 31_A1-03</v>
      </c>
    </row>
    <row r="16" spans="2:23" ht="18.75" customHeight="1">
      <c r="B16" s="43" t="s">
        <v>158</v>
      </c>
      <c r="C16" s="127" t="str">
        <f>R19&amp;"登録"</f>
        <v>ベース_診療行為データ登録</v>
      </c>
      <c r="D16" s="128"/>
      <c r="E16" s="128"/>
      <c r="F16" s="128"/>
      <c r="G16" s="128"/>
      <c r="H16" s="128"/>
      <c r="I16" s="128"/>
      <c r="J16" s="128"/>
      <c r="K16" s="128"/>
      <c r="L16" s="128"/>
      <c r="M16" s="128"/>
      <c r="N16" s="128"/>
      <c r="O16" s="128"/>
      <c r="P16" s="128"/>
      <c r="Q16" s="128"/>
      <c r="R16" s="128"/>
      <c r="S16" s="128"/>
      <c r="T16" s="128"/>
      <c r="U16" s="129"/>
      <c r="W16" s="35" t="str">
        <f>"-- "&amp;C16</f>
        <v>-- ベース_診療行為データ登録</v>
      </c>
    </row>
    <row r="17" spans="2:23" ht="18.75" customHeight="1">
      <c r="B17" s="43" t="s">
        <v>159</v>
      </c>
      <c r="C17" s="116" t="str">
        <f>C19&amp;"テーブルから対象患者で絞り込んだ結果を"&amp;R19&amp;"テーブルに格納する。"</f>
        <v>バックアップ_診療行為データテーブルから対象患者で絞り込んだ結果をベース_診療行為データテーブルに格納する。</v>
      </c>
      <c r="D17" s="117"/>
      <c r="E17" s="117"/>
      <c r="F17" s="117"/>
      <c r="G17" s="117"/>
      <c r="H17" s="117"/>
      <c r="I17" s="117"/>
      <c r="J17" s="117"/>
      <c r="K17" s="117"/>
      <c r="L17" s="117"/>
      <c r="M17" s="117"/>
      <c r="N17" s="117"/>
      <c r="O17" s="117"/>
      <c r="P17" s="117"/>
      <c r="Q17" s="117"/>
      <c r="R17" s="117"/>
      <c r="S17" s="117"/>
      <c r="T17" s="117"/>
      <c r="U17" s="118"/>
      <c r="W17" s="35" t="str">
        <f>"-- "&amp;C17</f>
        <v>-- バックアップ_診療行為データテーブルから対象患者で絞り込んだ結果をベース_診療行為データテーブルに格納する。</v>
      </c>
    </row>
    <row r="19" spans="2:23" ht="18.75" customHeight="1">
      <c r="C19" s="119" t="s">
        <v>3754</v>
      </c>
      <c r="D19" s="120"/>
      <c r="E19" s="125" t="str">
        <f>エンティティ一覧!$O$2</f>
        <v>milscm_2023_007</v>
      </c>
      <c r="H19" s="36"/>
      <c r="I19" s="36"/>
      <c r="J19" s="36"/>
      <c r="K19" s="36"/>
      <c r="L19" s="36"/>
      <c r="M19" s="36"/>
      <c r="N19" s="36"/>
      <c r="O19" s="36"/>
      <c r="P19" s="36"/>
      <c r="Q19" s="36"/>
      <c r="R19" s="119" t="str">
        <f>"ベース"&amp;SUBSTITUTE(C19,"バックアップ","")</f>
        <v>ベース_診療行為データ</v>
      </c>
      <c r="S19" s="120"/>
      <c r="T19" s="125" t="str">
        <f>エンティティ一覧!$O$2</f>
        <v>milscm_2023_007</v>
      </c>
    </row>
    <row r="20" spans="2:23" ht="18.75" customHeight="1">
      <c r="C20" s="121"/>
      <c r="D20" s="122"/>
      <c r="E20" s="126"/>
      <c r="F20" s="37"/>
      <c r="G20" s="38"/>
      <c r="H20" s="37"/>
      <c r="I20" s="37"/>
      <c r="J20" s="37"/>
      <c r="K20" s="37"/>
      <c r="L20" s="37"/>
      <c r="M20" s="37"/>
      <c r="N20" s="37"/>
      <c r="O20" s="37"/>
      <c r="P20" s="37"/>
      <c r="Q20" s="37"/>
      <c r="R20" s="121"/>
      <c r="S20" s="122"/>
      <c r="T20" s="126"/>
    </row>
    <row r="21" spans="2:23" ht="18.75" customHeight="1">
      <c r="F21" s="39"/>
      <c r="G21" s="40"/>
    </row>
    <row r="22" spans="2:23" ht="18.75" customHeight="1">
      <c r="C22" s="119" t="s">
        <v>3751</v>
      </c>
      <c r="D22" s="120"/>
      <c r="E22" s="125" t="str">
        <f>エンティティ一覧!$O$2</f>
        <v>milscm_2023_007</v>
      </c>
      <c r="G22" s="41"/>
    </row>
    <row r="23" spans="2:23" ht="18.75" customHeight="1">
      <c r="C23" s="121"/>
      <c r="D23" s="122"/>
      <c r="E23" s="126"/>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3823</v>
      </c>
      <c r="D27" s="93"/>
      <c r="W27" s="35" t="str">
        <f>"-- "&amp;B27&amp;" : "&amp;C27</f>
        <v>-- SQL_ID : 31_A1-04</v>
      </c>
    </row>
    <row r="28" spans="2:23" ht="18.75" customHeight="1">
      <c r="B28" s="43" t="s">
        <v>158</v>
      </c>
      <c r="C28" s="127" t="str">
        <f>R31&amp;"登録"</f>
        <v>ベース_疾患データ登録</v>
      </c>
      <c r="D28" s="128"/>
      <c r="E28" s="128"/>
      <c r="F28" s="128"/>
      <c r="G28" s="128"/>
      <c r="H28" s="128"/>
      <c r="I28" s="128"/>
      <c r="J28" s="128"/>
      <c r="K28" s="128"/>
      <c r="L28" s="128"/>
      <c r="M28" s="128"/>
      <c r="N28" s="128"/>
      <c r="O28" s="128"/>
      <c r="P28" s="128"/>
      <c r="Q28" s="128"/>
      <c r="R28" s="128"/>
      <c r="S28" s="128"/>
      <c r="T28" s="128"/>
      <c r="U28" s="129"/>
      <c r="W28" s="35" t="str">
        <f>"-- "&amp;C28</f>
        <v>-- ベース_疾患データ登録</v>
      </c>
    </row>
    <row r="29" spans="2:23" ht="18.75" customHeight="1">
      <c r="B29" s="43" t="s">
        <v>159</v>
      </c>
      <c r="C29" s="116" t="str">
        <f>C31&amp;"テーブルから対象患者で絞り込んだ結果を"&amp;R31&amp;"テーブルに格納する。"</f>
        <v>バックアップ_疾患データテーブルから対象患者で絞り込んだ結果をベース_疾患データテーブルに格納する。</v>
      </c>
      <c r="D29" s="117"/>
      <c r="E29" s="117"/>
      <c r="F29" s="117"/>
      <c r="G29" s="117"/>
      <c r="H29" s="117"/>
      <c r="I29" s="117"/>
      <c r="J29" s="117"/>
      <c r="K29" s="117"/>
      <c r="L29" s="117"/>
      <c r="M29" s="117"/>
      <c r="N29" s="117"/>
      <c r="O29" s="117"/>
      <c r="P29" s="117"/>
      <c r="Q29" s="117"/>
      <c r="R29" s="117"/>
      <c r="S29" s="117"/>
      <c r="T29" s="117"/>
      <c r="U29" s="118"/>
      <c r="W29" s="35" t="str">
        <f>"-- "&amp;C29</f>
        <v>-- バックアップ_疾患データテーブルから対象患者で絞り込んだ結果をベース_疾患データテーブルに格納する。</v>
      </c>
    </row>
    <row r="31" spans="2:23" ht="18.75" customHeight="1">
      <c r="C31" s="119" t="s">
        <v>3854</v>
      </c>
      <c r="D31" s="120"/>
      <c r="E31" s="125" t="str">
        <f>エンティティ一覧!$O$2</f>
        <v>milscm_2023_007</v>
      </c>
      <c r="H31" s="36"/>
      <c r="I31" s="36"/>
      <c r="J31" s="36"/>
      <c r="K31" s="36"/>
      <c r="L31" s="36"/>
      <c r="M31" s="36"/>
      <c r="N31" s="36"/>
      <c r="O31" s="36"/>
      <c r="P31" s="36"/>
      <c r="Q31" s="36"/>
      <c r="R31" s="119" t="str">
        <f>"ベース"&amp;SUBSTITUTE(C31,"バックアップ","")</f>
        <v>ベース_疾患データ</v>
      </c>
      <c r="S31" s="120"/>
      <c r="T31" s="125" t="str">
        <f>エンティティ一覧!$O$2</f>
        <v>milscm_2023_007</v>
      </c>
    </row>
    <row r="32" spans="2:23" ht="18.75" customHeight="1">
      <c r="C32" s="121"/>
      <c r="D32" s="122"/>
      <c r="E32" s="126"/>
      <c r="F32" s="37"/>
      <c r="G32" s="38"/>
      <c r="H32" s="37"/>
      <c r="I32" s="37"/>
      <c r="J32" s="37"/>
      <c r="K32" s="37"/>
      <c r="L32" s="37"/>
      <c r="M32" s="37"/>
      <c r="N32" s="37"/>
      <c r="O32" s="37"/>
      <c r="P32" s="37"/>
      <c r="Q32" s="37"/>
      <c r="R32" s="121"/>
      <c r="S32" s="122"/>
      <c r="T32" s="126"/>
    </row>
    <row r="33" spans="2:23" ht="18.75" customHeight="1">
      <c r="F33" s="39"/>
      <c r="G33" s="40"/>
    </row>
    <row r="34" spans="2:23" ht="18.75" customHeight="1">
      <c r="C34" s="119" t="s">
        <v>3751</v>
      </c>
      <c r="D34" s="120"/>
      <c r="E34" s="125" t="str">
        <f>エンティティ一覧!$O$2</f>
        <v>milscm_2023_007</v>
      </c>
      <c r="G34" s="41"/>
    </row>
    <row r="35" spans="2:23" ht="18.75" customHeight="1">
      <c r="C35" s="121"/>
      <c r="D35" s="122"/>
      <c r="E35" s="126"/>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3756</v>
      </c>
      <c r="D39" s="90"/>
      <c r="W39" s="35" t="str">
        <f>"-- "&amp;B39&amp;" : "&amp;C39</f>
        <v>-- SQL_ID : 31_A1-06</v>
      </c>
    </row>
    <row r="40" spans="2:23" ht="18.75" customHeight="1">
      <c r="B40" s="43" t="s">
        <v>158</v>
      </c>
      <c r="C40" s="127" t="str">
        <f>R43&amp;"登録"</f>
        <v>ベース_入院退院データ登録</v>
      </c>
      <c r="D40" s="128"/>
      <c r="E40" s="128"/>
      <c r="F40" s="128"/>
      <c r="G40" s="128"/>
      <c r="H40" s="128"/>
      <c r="I40" s="128"/>
      <c r="J40" s="128"/>
      <c r="K40" s="128"/>
      <c r="L40" s="128"/>
      <c r="M40" s="128"/>
      <c r="N40" s="128"/>
      <c r="O40" s="128"/>
      <c r="P40" s="128"/>
      <c r="Q40" s="128"/>
      <c r="R40" s="128"/>
      <c r="S40" s="128"/>
      <c r="T40" s="128"/>
      <c r="U40" s="129"/>
      <c r="W40" s="35" t="str">
        <f>"-- "&amp;C40</f>
        <v>-- ベース_入院退院データ登録</v>
      </c>
    </row>
    <row r="41" spans="2:23" ht="18.75" customHeight="1">
      <c r="B41" s="43" t="s">
        <v>159</v>
      </c>
      <c r="C41" s="116" t="str">
        <f>C43&amp;"テーブルから対象患者で絞り込んだ結果を"&amp;R43&amp;"テーブルに格納する。"</f>
        <v>バックアップ_入院退院データテーブルから対象患者で絞り込んだ結果をベース_入院退院データテーブルに格納する。</v>
      </c>
      <c r="D41" s="117"/>
      <c r="E41" s="117"/>
      <c r="F41" s="117"/>
      <c r="G41" s="117"/>
      <c r="H41" s="117"/>
      <c r="I41" s="117"/>
      <c r="J41" s="117"/>
      <c r="K41" s="117"/>
      <c r="L41" s="117"/>
      <c r="M41" s="117"/>
      <c r="N41" s="117"/>
      <c r="O41" s="117"/>
      <c r="P41" s="117"/>
      <c r="Q41" s="117"/>
      <c r="R41" s="117"/>
      <c r="S41" s="117"/>
      <c r="T41" s="117"/>
      <c r="U41" s="118"/>
      <c r="W41" s="35" t="str">
        <f>"-- "&amp;C41</f>
        <v>-- バックアップ_入院退院データテーブルから対象患者で絞り込んだ結果をベース_入院退院データテーブルに格納する。</v>
      </c>
    </row>
    <row r="43" spans="2:23" ht="18.75" customHeight="1">
      <c r="C43" s="119" t="s">
        <v>3757</v>
      </c>
      <c r="D43" s="120"/>
      <c r="E43" s="125" t="str">
        <f>エンティティ一覧!$O$2</f>
        <v>milscm_2023_007</v>
      </c>
      <c r="H43" s="36"/>
      <c r="I43" s="36"/>
      <c r="J43" s="36"/>
      <c r="K43" s="36"/>
      <c r="L43" s="36"/>
      <c r="M43" s="36"/>
      <c r="N43" s="36"/>
      <c r="O43" s="36"/>
      <c r="P43" s="36"/>
      <c r="Q43" s="36"/>
      <c r="R43" s="119" t="str">
        <f>"ベース"&amp;SUBSTITUTE(C43,"バックアップ","")</f>
        <v>ベース_入院退院データ</v>
      </c>
      <c r="S43" s="120"/>
      <c r="T43" s="125" t="str">
        <f>エンティティ一覧!$O$2</f>
        <v>milscm_2023_007</v>
      </c>
    </row>
    <row r="44" spans="2:23" ht="18.75" customHeight="1">
      <c r="C44" s="121"/>
      <c r="D44" s="122"/>
      <c r="E44" s="126"/>
      <c r="F44" s="37"/>
      <c r="G44" s="38"/>
      <c r="H44" s="37"/>
      <c r="I44" s="37"/>
      <c r="J44" s="37"/>
      <c r="K44" s="37"/>
      <c r="L44" s="37"/>
      <c r="M44" s="37"/>
      <c r="N44" s="37"/>
      <c r="O44" s="37"/>
      <c r="P44" s="37"/>
      <c r="Q44" s="37"/>
      <c r="R44" s="121"/>
      <c r="S44" s="122"/>
      <c r="T44" s="126"/>
    </row>
    <row r="45" spans="2:23" ht="18.75" customHeight="1">
      <c r="F45" s="39"/>
      <c r="G45" s="40"/>
    </row>
    <row r="46" spans="2:23" ht="18.75" customHeight="1">
      <c r="C46" s="119" t="s">
        <v>3751</v>
      </c>
      <c r="D46" s="120"/>
      <c r="E46" s="125" t="str">
        <f>エンティティ一覧!$O$2</f>
        <v>milscm_2023_007</v>
      </c>
      <c r="G46" s="41"/>
    </row>
    <row r="47" spans="2:23" ht="18.75" customHeight="1">
      <c r="C47" s="121"/>
      <c r="D47" s="122"/>
      <c r="E47" s="126"/>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3758</v>
      </c>
      <c r="D51" s="90"/>
      <c r="W51" s="35" t="str">
        <f>"-- "&amp;B51&amp;" : "&amp;C51</f>
        <v>-- SQL_ID : 31_A1-14</v>
      </c>
    </row>
    <row r="52" spans="2:23" ht="18.75" customHeight="1">
      <c r="B52" s="43" t="s">
        <v>158</v>
      </c>
      <c r="C52" s="127" t="str">
        <f>R55&amp;"登録"</f>
        <v>ベース_患者基本データ登録</v>
      </c>
      <c r="D52" s="128"/>
      <c r="E52" s="128"/>
      <c r="F52" s="128"/>
      <c r="G52" s="128"/>
      <c r="H52" s="128"/>
      <c r="I52" s="128"/>
      <c r="J52" s="128"/>
      <c r="K52" s="128"/>
      <c r="L52" s="128"/>
      <c r="M52" s="128"/>
      <c r="N52" s="128"/>
      <c r="O52" s="128"/>
      <c r="P52" s="128"/>
      <c r="Q52" s="128"/>
      <c r="R52" s="128"/>
      <c r="S52" s="128"/>
      <c r="T52" s="128"/>
      <c r="U52" s="129"/>
      <c r="W52" s="35" t="str">
        <f>"-- "&amp;C52</f>
        <v>-- ベース_患者基本データ登録</v>
      </c>
    </row>
    <row r="53" spans="2:23" ht="18.75" customHeight="1">
      <c r="B53" s="43" t="s">
        <v>159</v>
      </c>
      <c r="C53" s="116" t="str">
        <f>C55&amp;"テーブルから対象患者で絞り込んだ結果を"&amp;R55&amp;"テーブルに格納する。"</f>
        <v>バックアップ_患者基本データテーブルから対象患者で絞り込んだ結果をベース_患者基本データテーブルに格納する。</v>
      </c>
      <c r="D53" s="117"/>
      <c r="E53" s="117"/>
      <c r="F53" s="117"/>
      <c r="G53" s="117"/>
      <c r="H53" s="117"/>
      <c r="I53" s="117"/>
      <c r="J53" s="117"/>
      <c r="K53" s="117"/>
      <c r="L53" s="117"/>
      <c r="M53" s="117"/>
      <c r="N53" s="117"/>
      <c r="O53" s="117"/>
      <c r="P53" s="117"/>
      <c r="Q53" s="117"/>
      <c r="R53" s="117"/>
      <c r="S53" s="117"/>
      <c r="T53" s="117"/>
      <c r="U53" s="118"/>
      <c r="W53" s="35" t="str">
        <f>"-- "&amp;C53</f>
        <v>-- バックアップ_患者基本データテーブルから対象患者で絞り込んだ結果をベース_患者基本データテーブルに格納する。</v>
      </c>
    </row>
    <row r="55" spans="2:23" ht="18.75" customHeight="1">
      <c r="C55" s="119" t="s">
        <v>3759</v>
      </c>
      <c r="D55" s="120"/>
      <c r="E55" s="125" t="str">
        <f>エンティティ一覧!$O$2</f>
        <v>milscm_2023_007</v>
      </c>
      <c r="H55" s="36"/>
      <c r="I55" s="36"/>
      <c r="J55" s="36"/>
      <c r="K55" s="36"/>
      <c r="L55" s="36"/>
      <c r="M55" s="36"/>
      <c r="N55" s="36"/>
      <c r="O55" s="36"/>
      <c r="P55" s="36"/>
      <c r="Q55" s="36"/>
      <c r="R55" s="119" t="str">
        <f>"ベース"&amp;SUBSTITUTE(C55,"バックアップ","")</f>
        <v>ベース_患者基本データ</v>
      </c>
      <c r="S55" s="120"/>
      <c r="T55" s="125" t="str">
        <f>エンティティ一覧!$O$2</f>
        <v>milscm_2023_007</v>
      </c>
    </row>
    <row r="56" spans="2:23" ht="18.75" customHeight="1">
      <c r="C56" s="121"/>
      <c r="D56" s="122"/>
      <c r="E56" s="126"/>
      <c r="F56" s="37"/>
      <c r="G56" s="38"/>
      <c r="H56" s="37"/>
      <c r="I56" s="37"/>
      <c r="J56" s="37"/>
      <c r="K56" s="37"/>
      <c r="L56" s="37"/>
      <c r="M56" s="37"/>
      <c r="N56" s="37"/>
      <c r="O56" s="37"/>
      <c r="P56" s="37"/>
      <c r="Q56" s="37"/>
      <c r="R56" s="121"/>
      <c r="S56" s="122"/>
      <c r="T56" s="126"/>
    </row>
    <row r="57" spans="2:23" ht="18.75" customHeight="1">
      <c r="F57" s="39"/>
      <c r="G57" s="40"/>
    </row>
    <row r="58" spans="2:23" ht="18.75" customHeight="1">
      <c r="C58" s="119" t="s">
        <v>3751</v>
      </c>
      <c r="D58" s="120"/>
      <c r="E58" s="125" t="str">
        <f>エンティティ一覧!$O$2</f>
        <v>milscm_2023_007</v>
      </c>
      <c r="G58" s="41"/>
    </row>
    <row r="59" spans="2:23" ht="18.75" customHeight="1">
      <c r="C59" s="121"/>
      <c r="D59" s="122"/>
      <c r="E59" s="126"/>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3761</v>
      </c>
      <c r="D63" s="90"/>
      <c r="W63" s="35" t="str">
        <f>"-- "&amp;B63&amp;" : "&amp;C63</f>
        <v>-- SQL_ID : 31_A6-02</v>
      </c>
    </row>
    <row r="64" spans="2:23" ht="18.75" customHeight="1">
      <c r="B64" s="43" t="s">
        <v>158</v>
      </c>
      <c r="C64" s="127" t="str">
        <f>R67&amp;"登録"</f>
        <v>ベース_MML共通登録</v>
      </c>
      <c r="D64" s="128"/>
      <c r="E64" s="128"/>
      <c r="F64" s="128"/>
      <c r="G64" s="128"/>
      <c r="H64" s="128"/>
      <c r="I64" s="128"/>
      <c r="J64" s="128"/>
      <c r="K64" s="128"/>
      <c r="L64" s="128"/>
      <c r="M64" s="128"/>
      <c r="N64" s="128"/>
      <c r="O64" s="128"/>
      <c r="P64" s="128"/>
      <c r="Q64" s="128"/>
      <c r="R64" s="128"/>
      <c r="S64" s="128"/>
      <c r="T64" s="128"/>
      <c r="U64" s="129"/>
      <c r="W64" s="35" t="str">
        <f>"-- "&amp;C64</f>
        <v>-- ベース_MML共通登録</v>
      </c>
    </row>
    <row r="65" spans="2:23" ht="18.75" customHeight="1">
      <c r="B65" s="43" t="s">
        <v>159</v>
      </c>
      <c r="C65" s="116" t="str">
        <f>C67&amp;"テーブルから対象患者で絞り込んだ結果を"&amp;R67&amp;"テーブルに格納する。"</f>
        <v>バックアップ_MML共通テーブルから対象患者で絞り込んだ結果をベース_MML共通テーブルに格納する。</v>
      </c>
      <c r="D65" s="117"/>
      <c r="E65" s="117"/>
      <c r="F65" s="117"/>
      <c r="G65" s="117"/>
      <c r="H65" s="117"/>
      <c r="I65" s="117"/>
      <c r="J65" s="117"/>
      <c r="K65" s="117"/>
      <c r="L65" s="117"/>
      <c r="M65" s="117"/>
      <c r="N65" s="117"/>
      <c r="O65" s="117"/>
      <c r="P65" s="117"/>
      <c r="Q65" s="117"/>
      <c r="R65" s="117"/>
      <c r="S65" s="117"/>
      <c r="T65" s="117"/>
      <c r="U65" s="118"/>
      <c r="W65" s="35" t="str">
        <f>"-- "&amp;C65</f>
        <v>-- バックアップ_MML共通テーブルから対象患者で絞り込んだ結果をベース_MML共通テーブルに格納する。</v>
      </c>
    </row>
    <row r="67" spans="2:23" ht="18.75" customHeight="1">
      <c r="C67" s="119" t="s">
        <v>3760</v>
      </c>
      <c r="D67" s="120"/>
      <c r="E67" s="125" t="str">
        <f>エンティティ一覧!$O$2</f>
        <v>milscm_2023_007</v>
      </c>
      <c r="H67" s="36"/>
      <c r="I67" s="36"/>
      <c r="J67" s="36"/>
      <c r="K67" s="36"/>
      <c r="L67" s="36"/>
      <c r="M67" s="36"/>
      <c r="N67" s="36"/>
      <c r="O67" s="36"/>
      <c r="P67" s="36"/>
      <c r="Q67" s="36"/>
      <c r="R67" s="119" t="str">
        <f>"ベース"&amp;SUBSTITUTE(C67,"バックアップ","")</f>
        <v>ベース_MML共通</v>
      </c>
      <c r="S67" s="120"/>
      <c r="T67" s="125" t="str">
        <f>エンティティ一覧!$O$2</f>
        <v>milscm_2023_007</v>
      </c>
    </row>
    <row r="68" spans="2:23" ht="18.75" customHeight="1">
      <c r="C68" s="121"/>
      <c r="D68" s="122"/>
      <c r="E68" s="126"/>
      <c r="F68" s="37"/>
      <c r="G68" s="38"/>
      <c r="H68" s="37"/>
      <c r="I68" s="37"/>
      <c r="J68" s="37"/>
      <c r="K68" s="37"/>
      <c r="L68" s="37"/>
      <c r="M68" s="37"/>
      <c r="N68" s="37"/>
      <c r="O68" s="37"/>
      <c r="P68" s="37"/>
      <c r="Q68" s="37"/>
      <c r="R68" s="121"/>
      <c r="S68" s="122"/>
      <c r="T68" s="126"/>
    </row>
    <row r="69" spans="2:23" ht="18.75" customHeight="1">
      <c r="F69" s="39"/>
      <c r="G69" s="40"/>
    </row>
    <row r="70" spans="2:23" ht="18.75" customHeight="1">
      <c r="C70" s="119" t="s">
        <v>3751</v>
      </c>
      <c r="D70" s="120"/>
      <c r="E70" s="125" t="str">
        <f>エンティティ一覧!$O$2</f>
        <v>milscm_2023_007</v>
      </c>
      <c r="G70" s="41"/>
    </row>
    <row r="71" spans="2:23" ht="18.75" customHeight="1">
      <c r="C71" s="121"/>
      <c r="D71" s="122"/>
      <c r="E71" s="126"/>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3763</v>
      </c>
      <c r="D75" s="90"/>
      <c r="W75" s="35" t="str">
        <f>"-- "&amp;B75&amp;" : "&amp;C75</f>
        <v>-- SQL_ID : 31_A6-03</v>
      </c>
    </row>
    <row r="76" spans="2:23" ht="18.75" customHeight="1">
      <c r="B76" s="43" t="s">
        <v>158</v>
      </c>
      <c r="C76" s="127" t="str">
        <f>R79&amp;"登録"</f>
        <v>ベース_MML_診断履歴情報モジュール_本文登録</v>
      </c>
      <c r="D76" s="128"/>
      <c r="E76" s="128"/>
      <c r="F76" s="128"/>
      <c r="G76" s="128"/>
      <c r="H76" s="128"/>
      <c r="I76" s="128"/>
      <c r="J76" s="128"/>
      <c r="K76" s="128"/>
      <c r="L76" s="128"/>
      <c r="M76" s="128"/>
      <c r="N76" s="128"/>
      <c r="O76" s="128"/>
      <c r="P76" s="128"/>
      <c r="Q76" s="128"/>
      <c r="R76" s="128"/>
      <c r="S76" s="128"/>
      <c r="T76" s="128"/>
      <c r="U76" s="129"/>
      <c r="W76" s="35" t="str">
        <f>"-- "&amp;C76</f>
        <v>-- ベース_MML_診断履歴情報モジュール_本文登録</v>
      </c>
    </row>
    <row r="77" spans="2:23" ht="18.75" customHeight="1">
      <c r="B77" s="43" t="s">
        <v>159</v>
      </c>
      <c r="C77" s="116"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17"/>
      <c r="E77" s="117"/>
      <c r="F77" s="117"/>
      <c r="G77" s="117"/>
      <c r="H77" s="117"/>
      <c r="I77" s="117"/>
      <c r="J77" s="117"/>
      <c r="K77" s="117"/>
      <c r="L77" s="117"/>
      <c r="M77" s="117"/>
      <c r="N77" s="117"/>
      <c r="O77" s="117"/>
      <c r="P77" s="117"/>
      <c r="Q77" s="117"/>
      <c r="R77" s="117"/>
      <c r="S77" s="117"/>
      <c r="T77" s="117"/>
      <c r="U77" s="118"/>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19" t="s">
        <v>3762</v>
      </c>
      <c r="D79" s="120"/>
      <c r="E79" s="125" t="str">
        <f>エンティティ一覧!$O$2</f>
        <v>milscm_2023_007</v>
      </c>
      <c r="H79" s="36"/>
      <c r="I79" s="36"/>
      <c r="J79" s="36"/>
      <c r="K79" s="36"/>
      <c r="L79" s="36"/>
      <c r="M79" s="36"/>
      <c r="N79" s="36"/>
      <c r="O79" s="36"/>
      <c r="P79" s="36"/>
      <c r="Q79" s="36"/>
      <c r="R79" s="119" t="str">
        <f>"ベース"&amp;SUBSTITUTE(C79,"バックアップ","")</f>
        <v>ベース_MML_診断履歴情報モジュール_本文</v>
      </c>
      <c r="S79" s="120"/>
      <c r="T79" s="125" t="str">
        <f>エンティティ一覧!$O$2</f>
        <v>milscm_2023_007</v>
      </c>
    </row>
    <row r="80" spans="2:23" ht="18.75" customHeight="1">
      <c r="C80" s="121"/>
      <c r="D80" s="122"/>
      <c r="E80" s="126"/>
      <c r="F80" s="37"/>
      <c r="G80" s="38"/>
      <c r="H80" s="37"/>
      <c r="I80" s="37"/>
      <c r="J80" s="37"/>
      <c r="K80" s="37"/>
      <c r="L80" s="37"/>
      <c r="M80" s="37"/>
      <c r="N80" s="37"/>
      <c r="O80" s="37"/>
      <c r="P80" s="37"/>
      <c r="Q80" s="37"/>
      <c r="R80" s="121"/>
      <c r="S80" s="122"/>
      <c r="T80" s="126"/>
    </row>
    <row r="81" spans="2:23" ht="18.75" customHeight="1">
      <c r="F81" s="39"/>
      <c r="G81" s="40"/>
    </row>
    <row r="82" spans="2:23" ht="18.75" customHeight="1">
      <c r="C82" s="119" t="s">
        <v>3751</v>
      </c>
      <c r="D82" s="120"/>
      <c r="E82" s="125" t="str">
        <f>エンティティ一覧!$O$2</f>
        <v>milscm_2023_007</v>
      </c>
      <c r="G82" s="41"/>
    </row>
    <row r="83" spans="2:23" ht="18.75" customHeight="1">
      <c r="C83" s="121"/>
      <c r="D83" s="122"/>
      <c r="E83" s="126"/>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3764</v>
      </c>
      <c r="D87" s="90"/>
      <c r="W87" s="35" t="str">
        <f>"-- "&amp;B87&amp;" : "&amp;C87</f>
        <v>-- SQL_ID : 31_A6-04</v>
      </c>
    </row>
    <row r="88" spans="2:23" ht="18.75" customHeight="1">
      <c r="B88" s="43" t="s">
        <v>158</v>
      </c>
      <c r="C88" s="127" t="str">
        <f>R91&amp;"登録"</f>
        <v>ベース_MML_診断履歴情報モジュール_病名登録</v>
      </c>
      <c r="D88" s="128"/>
      <c r="E88" s="128"/>
      <c r="F88" s="128"/>
      <c r="G88" s="128"/>
      <c r="H88" s="128"/>
      <c r="I88" s="128"/>
      <c r="J88" s="128"/>
      <c r="K88" s="128"/>
      <c r="L88" s="128"/>
      <c r="M88" s="128"/>
      <c r="N88" s="128"/>
      <c r="O88" s="128"/>
      <c r="P88" s="128"/>
      <c r="Q88" s="128"/>
      <c r="R88" s="128"/>
      <c r="S88" s="128"/>
      <c r="T88" s="128"/>
      <c r="U88" s="129"/>
      <c r="W88" s="35" t="str">
        <f>"-- "&amp;C88</f>
        <v>-- ベース_MML_診断履歴情報モジュール_病名登録</v>
      </c>
    </row>
    <row r="89" spans="2:23" ht="18.75" customHeight="1">
      <c r="B89" s="43" t="s">
        <v>159</v>
      </c>
      <c r="C89" s="116"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17"/>
      <c r="E89" s="117"/>
      <c r="F89" s="117"/>
      <c r="G89" s="117"/>
      <c r="H89" s="117"/>
      <c r="I89" s="117"/>
      <c r="J89" s="117"/>
      <c r="K89" s="117"/>
      <c r="L89" s="117"/>
      <c r="M89" s="117"/>
      <c r="N89" s="117"/>
      <c r="O89" s="117"/>
      <c r="P89" s="117"/>
      <c r="Q89" s="117"/>
      <c r="R89" s="117"/>
      <c r="S89" s="117"/>
      <c r="T89" s="117"/>
      <c r="U89" s="118"/>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19" t="s">
        <v>3765</v>
      </c>
      <c r="D91" s="120"/>
      <c r="E91" s="125" t="str">
        <f>エンティティ一覧!$O$2</f>
        <v>milscm_2023_007</v>
      </c>
      <c r="H91" s="36"/>
      <c r="I91" s="36"/>
      <c r="J91" s="36"/>
      <c r="K91" s="36"/>
      <c r="L91" s="36"/>
      <c r="M91" s="36"/>
      <c r="N91" s="36"/>
      <c r="O91" s="36"/>
      <c r="P91" s="36"/>
      <c r="Q91" s="36"/>
      <c r="R91" s="119" t="str">
        <f>"ベース"&amp;SUBSTITUTE(C91,"バックアップ","")</f>
        <v>ベース_MML_診断履歴情報モジュール_病名</v>
      </c>
      <c r="S91" s="120"/>
      <c r="T91" s="125" t="str">
        <f>エンティティ一覧!$O$2</f>
        <v>milscm_2023_007</v>
      </c>
    </row>
    <row r="92" spans="2:23" ht="18.75" customHeight="1">
      <c r="C92" s="121"/>
      <c r="D92" s="122"/>
      <c r="E92" s="126"/>
      <c r="F92" s="37"/>
      <c r="G92" s="38"/>
      <c r="H92" s="37"/>
      <c r="I92" s="37"/>
      <c r="J92" s="37"/>
      <c r="K92" s="37"/>
      <c r="L92" s="37"/>
      <c r="M92" s="37"/>
      <c r="N92" s="37"/>
      <c r="O92" s="37"/>
      <c r="P92" s="37"/>
      <c r="Q92" s="37"/>
      <c r="R92" s="121"/>
      <c r="S92" s="122"/>
      <c r="T92" s="126"/>
    </row>
    <row r="93" spans="2:23" ht="18.75" customHeight="1">
      <c r="F93" s="39"/>
      <c r="G93" s="40"/>
    </row>
    <row r="94" spans="2:23" ht="18.75" customHeight="1">
      <c r="C94" s="119" t="s">
        <v>3751</v>
      </c>
      <c r="D94" s="120"/>
      <c r="E94" s="125" t="str">
        <f>エンティティ一覧!$O$2</f>
        <v>milscm_2023_007</v>
      </c>
      <c r="G94" s="41"/>
    </row>
    <row r="95" spans="2:23" ht="18.75" customHeight="1">
      <c r="C95" s="121"/>
      <c r="D95" s="122"/>
      <c r="E95" s="126"/>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4068</v>
      </c>
      <c r="D99" s="105"/>
      <c r="W99" s="35" t="str">
        <f>"-- "&amp;B99&amp;" : "&amp;C99</f>
        <v>-- SQL_ID : 31_A6-18</v>
      </c>
    </row>
    <row r="100" spans="2:23" ht="18.75" customHeight="1">
      <c r="B100" s="43" t="s">
        <v>158</v>
      </c>
      <c r="C100" s="127" t="str">
        <f>R103&amp;"登録"</f>
        <v>ベース_MML_検歴情報モジュール_本文登録</v>
      </c>
      <c r="D100" s="128"/>
      <c r="E100" s="128"/>
      <c r="F100" s="128"/>
      <c r="G100" s="128"/>
      <c r="H100" s="128"/>
      <c r="I100" s="128"/>
      <c r="J100" s="128"/>
      <c r="K100" s="128"/>
      <c r="L100" s="128"/>
      <c r="M100" s="128"/>
      <c r="N100" s="128"/>
      <c r="O100" s="128"/>
      <c r="P100" s="128"/>
      <c r="Q100" s="128"/>
      <c r="R100" s="128"/>
      <c r="S100" s="128"/>
      <c r="T100" s="128"/>
      <c r="U100" s="129"/>
      <c r="W100" s="35" t="str">
        <f>"-- "&amp;C100</f>
        <v>-- ベース_MML_検歴情報モジュール_本文登録</v>
      </c>
    </row>
    <row r="101" spans="2:23" ht="18.75" customHeight="1">
      <c r="B101" s="43" t="s">
        <v>159</v>
      </c>
      <c r="C101" s="116"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17"/>
      <c r="E101" s="117"/>
      <c r="F101" s="117"/>
      <c r="G101" s="117"/>
      <c r="H101" s="117"/>
      <c r="I101" s="117"/>
      <c r="J101" s="117"/>
      <c r="K101" s="117"/>
      <c r="L101" s="117"/>
      <c r="M101" s="117"/>
      <c r="N101" s="117"/>
      <c r="O101" s="117"/>
      <c r="P101" s="117"/>
      <c r="Q101" s="117"/>
      <c r="R101" s="117"/>
      <c r="S101" s="117"/>
      <c r="T101" s="117"/>
      <c r="U101" s="118"/>
      <c r="W101" s="35" t="str">
        <f>"-- "&amp;C101</f>
        <v>-- バックアップ_MML_検歴情報モジュール_本文テーブルから対象患者で絞り込んだ結果をベース_MML_検歴情報モジュール_本文テーブルに格納する。</v>
      </c>
    </row>
    <row r="103" spans="2:23" ht="18.75" customHeight="1">
      <c r="C103" s="119" t="s">
        <v>4067</v>
      </c>
      <c r="D103" s="120"/>
      <c r="E103" s="125" t="str">
        <f>エンティティ一覧!$O$2</f>
        <v>milscm_2023_007</v>
      </c>
      <c r="H103" s="36"/>
      <c r="I103" s="36"/>
      <c r="J103" s="36"/>
      <c r="K103" s="36"/>
      <c r="L103" s="36"/>
      <c r="M103" s="36"/>
      <c r="N103" s="36"/>
      <c r="O103" s="36"/>
      <c r="P103" s="36"/>
      <c r="Q103" s="36"/>
      <c r="R103" s="119" t="str">
        <f>"ベース"&amp;SUBSTITUTE(C103,"バックアップ","")</f>
        <v>ベース_MML_検歴情報モジュール_本文</v>
      </c>
      <c r="S103" s="120"/>
      <c r="T103" s="125" t="str">
        <f>エンティティ一覧!$O$2</f>
        <v>milscm_2023_007</v>
      </c>
    </row>
    <row r="104" spans="2:23" ht="18.75" customHeight="1">
      <c r="C104" s="121"/>
      <c r="D104" s="122"/>
      <c r="E104" s="126"/>
      <c r="F104" s="37"/>
      <c r="G104" s="38"/>
      <c r="H104" s="37"/>
      <c r="I104" s="37"/>
      <c r="J104" s="37"/>
      <c r="K104" s="37"/>
      <c r="L104" s="37"/>
      <c r="M104" s="37"/>
      <c r="N104" s="37"/>
      <c r="O104" s="37"/>
      <c r="P104" s="37"/>
      <c r="Q104" s="37"/>
      <c r="R104" s="121"/>
      <c r="S104" s="122"/>
      <c r="T104" s="126"/>
    </row>
    <row r="105" spans="2:23" ht="18.75" customHeight="1">
      <c r="F105" s="39"/>
      <c r="G105" s="40"/>
    </row>
    <row r="106" spans="2:23" ht="18.75" customHeight="1">
      <c r="C106" s="119" t="s">
        <v>3751</v>
      </c>
      <c r="D106" s="120"/>
      <c r="E106" s="125" t="str">
        <f>エンティティ一覧!$O$2</f>
        <v>milscm_2023_007</v>
      </c>
      <c r="G106" s="41"/>
    </row>
    <row r="107" spans="2:23" ht="18.75" customHeight="1">
      <c r="C107" s="121"/>
      <c r="D107" s="122"/>
      <c r="E107" s="126"/>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4069</v>
      </c>
      <c r="D111" s="105"/>
      <c r="W111" s="35" t="str">
        <f>"-- "&amp;B111&amp;" : "&amp;C111</f>
        <v>-- SQL_ID : 31_A6-19</v>
      </c>
    </row>
    <row r="112" spans="2:23" ht="18.75" customHeight="1">
      <c r="B112" s="43" t="s">
        <v>158</v>
      </c>
      <c r="C112" s="127" t="str">
        <f>R115&amp;"登録"</f>
        <v>ベース_MML_検歴情報モジュール_報告コメント登録</v>
      </c>
      <c r="D112" s="128"/>
      <c r="E112" s="128"/>
      <c r="F112" s="128"/>
      <c r="G112" s="128"/>
      <c r="H112" s="128"/>
      <c r="I112" s="128"/>
      <c r="J112" s="128"/>
      <c r="K112" s="128"/>
      <c r="L112" s="128"/>
      <c r="M112" s="128"/>
      <c r="N112" s="128"/>
      <c r="O112" s="128"/>
      <c r="P112" s="128"/>
      <c r="Q112" s="128"/>
      <c r="R112" s="128"/>
      <c r="S112" s="128"/>
      <c r="T112" s="128"/>
      <c r="U112" s="129"/>
      <c r="W112" s="35" t="str">
        <f>"-- "&amp;C112</f>
        <v>-- ベース_MML_検歴情報モジュール_報告コメント登録</v>
      </c>
    </row>
    <row r="113" spans="2:23" ht="18.75" customHeight="1">
      <c r="B113" s="43" t="s">
        <v>159</v>
      </c>
      <c r="C113" s="116"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17"/>
      <c r="E113" s="117"/>
      <c r="F113" s="117"/>
      <c r="G113" s="117"/>
      <c r="H113" s="117"/>
      <c r="I113" s="117"/>
      <c r="J113" s="117"/>
      <c r="K113" s="117"/>
      <c r="L113" s="117"/>
      <c r="M113" s="117"/>
      <c r="N113" s="117"/>
      <c r="O113" s="117"/>
      <c r="P113" s="117"/>
      <c r="Q113" s="117"/>
      <c r="R113" s="117"/>
      <c r="S113" s="117"/>
      <c r="T113" s="117"/>
      <c r="U113" s="118"/>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19" t="s">
        <v>4070</v>
      </c>
      <c r="D115" s="120"/>
      <c r="E115" s="125" t="str">
        <f>エンティティ一覧!$O$2</f>
        <v>milscm_2023_007</v>
      </c>
      <c r="H115" s="36"/>
      <c r="I115" s="36"/>
      <c r="J115" s="36"/>
      <c r="K115" s="36"/>
      <c r="L115" s="36"/>
      <c r="M115" s="36"/>
      <c r="N115" s="36"/>
      <c r="O115" s="36"/>
      <c r="P115" s="36"/>
      <c r="Q115" s="36"/>
      <c r="R115" s="119" t="str">
        <f>"ベース"&amp;SUBSTITUTE(C115,"バックアップ","")</f>
        <v>ベース_MML_検歴情報モジュール_報告コメント</v>
      </c>
      <c r="S115" s="120"/>
      <c r="T115" s="125" t="str">
        <f>エンティティ一覧!$O$2</f>
        <v>milscm_2023_007</v>
      </c>
    </row>
    <row r="116" spans="2:23" ht="18.75" customHeight="1">
      <c r="C116" s="121"/>
      <c r="D116" s="122"/>
      <c r="E116" s="126"/>
      <c r="F116" s="37"/>
      <c r="G116" s="38"/>
      <c r="H116" s="37"/>
      <c r="I116" s="37"/>
      <c r="J116" s="37"/>
      <c r="K116" s="37"/>
      <c r="L116" s="37"/>
      <c r="M116" s="37"/>
      <c r="N116" s="37"/>
      <c r="O116" s="37"/>
      <c r="P116" s="37"/>
      <c r="Q116" s="37"/>
      <c r="R116" s="121"/>
      <c r="S116" s="122"/>
      <c r="T116" s="126"/>
    </row>
    <row r="117" spans="2:23" ht="18.75" customHeight="1">
      <c r="F117" s="39"/>
      <c r="G117" s="40"/>
    </row>
    <row r="118" spans="2:23" ht="18.75" customHeight="1">
      <c r="C118" s="119" t="s">
        <v>3751</v>
      </c>
      <c r="D118" s="120"/>
      <c r="E118" s="125" t="str">
        <f>エンティティ一覧!$O$2</f>
        <v>milscm_2023_007</v>
      </c>
      <c r="G118" s="41"/>
    </row>
    <row r="119" spans="2:23" ht="18.75" customHeight="1">
      <c r="C119" s="121"/>
      <c r="D119" s="122"/>
      <c r="E119" s="126"/>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4071</v>
      </c>
      <c r="D123" s="105"/>
      <c r="W123" s="35" t="str">
        <f>"-- "&amp;B123&amp;" : "&amp;C123</f>
        <v>-- SQL_ID : 31_A6-20</v>
      </c>
    </row>
    <row r="124" spans="2:23" ht="18.75" customHeight="1">
      <c r="B124" s="43" t="s">
        <v>158</v>
      </c>
      <c r="C124" s="127" t="str">
        <f>R127&amp;"登録"</f>
        <v>ベース_MML_検歴情報モジュール_検体検査結果情報登録</v>
      </c>
      <c r="D124" s="128"/>
      <c r="E124" s="128"/>
      <c r="F124" s="128"/>
      <c r="G124" s="128"/>
      <c r="H124" s="128"/>
      <c r="I124" s="128"/>
      <c r="J124" s="128"/>
      <c r="K124" s="128"/>
      <c r="L124" s="128"/>
      <c r="M124" s="128"/>
      <c r="N124" s="128"/>
      <c r="O124" s="128"/>
      <c r="P124" s="128"/>
      <c r="Q124" s="128"/>
      <c r="R124" s="128"/>
      <c r="S124" s="128"/>
      <c r="T124" s="128"/>
      <c r="U124" s="129"/>
      <c r="W124" s="35" t="str">
        <f>"-- "&amp;C124</f>
        <v>-- ベース_MML_検歴情報モジュール_検体検査結果情報登録</v>
      </c>
    </row>
    <row r="125" spans="2:23" ht="18.75" customHeight="1">
      <c r="B125" s="43" t="s">
        <v>159</v>
      </c>
      <c r="C125" s="116"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17"/>
      <c r="E125" s="117"/>
      <c r="F125" s="117"/>
      <c r="G125" s="117"/>
      <c r="H125" s="117"/>
      <c r="I125" s="117"/>
      <c r="J125" s="117"/>
      <c r="K125" s="117"/>
      <c r="L125" s="117"/>
      <c r="M125" s="117"/>
      <c r="N125" s="117"/>
      <c r="O125" s="117"/>
      <c r="P125" s="117"/>
      <c r="Q125" s="117"/>
      <c r="R125" s="117"/>
      <c r="S125" s="117"/>
      <c r="T125" s="117"/>
      <c r="U125" s="118"/>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30" t="s">
        <v>4072</v>
      </c>
      <c r="D127" s="131"/>
      <c r="E127" s="125" t="str">
        <f>エンティティ一覧!$O$2</f>
        <v>milscm_2023_007</v>
      </c>
      <c r="H127" s="36"/>
      <c r="I127" s="36"/>
      <c r="J127" s="36"/>
      <c r="K127" s="36"/>
      <c r="L127" s="36"/>
      <c r="M127" s="36"/>
      <c r="N127" s="36"/>
      <c r="O127" s="36"/>
      <c r="P127" s="36"/>
      <c r="Q127" s="36"/>
      <c r="R127" s="119" t="str">
        <f>"ベース"&amp;SUBSTITUTE(C127,"バックアップ","")</f>
        <v>ベース_MML_検歴情報モジュール_検体検査結果情報</v>
      </c>
      <c r="S127" s="120"/>
      <c r="T127" s="125" t="str">
        <f>エンティティ一覧!$O$2</f>
        <v>milscm_2023_007</v>
      </c>
    </row>
    <row r="128" spans="2:23" ht="18.75" customHeight="1">
      <c r="C128" s="132"/>
      <c r="D128" s="133"/>
      <c r="E128" s="126"/>
      <c r="F128" s="37"/>
      <c r="G128" s="38"/>
      <c r="H128" s="37"/>
      <c r="I128" s="37"/>
      <c r="J128" s="37"/>
      <c r="K128" s="37"/>
      <c r="L128" s="37"/>
      <c r="M128" s="37"/>
      <c r="N128" s="37"/>
      <c r="O128" s="37"/>
      <c r="P128" s="37"/>
      <c r="Q128" s="37"/>
      <c r="R128" s="121"/>
      <c r="S128" s="122"/>
      <c r="T128" s="126"/>
    </row>
    <row r="129" spans="2:23" ht="18.75" customHeight="1">
      <c r="F129" s="39"/>
      <c r="G129" s="40"/>
    </row>
    <row r="130" spans="2:23" ht="18.75" customHeight="1">
      <c r="C130" s="119" t="s">
        <v>3751</v>
      </c>
      <c r="D130" s="120"/>
      <c r="E130" s="125" t="str">
        <f>エンティティ一覧!$O$2</f>
        <v>milscm_2023_007</v>
      </c>
      <c r="G130" s="41"/>
    </row>
    <row r="131" spans="2:23" ht="18.75" customHeight="1">
      <c r="C131" s="121"/>
      <c r="D131" s="122"/>
      <c r="E131" s="126"/>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4073</v>
      </c>
      <c r="D135" s="105"/>
      <c r="W135" s="35" t="str">
        <f>"-- "&amp;B135&amp;" : "&amp;C135</f>
        <v>-- SQL_ID : 31_A6-21</v>
      </c>
    </row>
    <row r="136" spans="2:23" ht="18.75" customHeight="1">
      <c r="B136" s="43" t="s">
        <v>158</v>
      </c>
      <c r="C136" s="127" t="str">
        <f>R139&amp;"登録"</f>
        <v>ベース_MML_検歴情報モジュール_検体コメント登録</v>
      </c>
      <c r="D136" s="128"/>
      <c r="E136" s="128"/>
      <c r="F136" s="128"/>
      <c r="G136" s="128"/>
      <c r="H136" s="128"/>
      <c r="I136" s="128"/>
      <c r="J136" s="128"/>
      <c r="K136" s="128"/>
      <c r="L136" s="128"/>
      <c r="M136" s="128"/>
      <c r="N136" s="128"/>
      <c r="O136" s="128"/>
      <c r="P136" s="128"/>
      <c r="Q136" s="128"/>
      <c r="R136" s="128"/>
      <c r="S136" s="128"/>
      <c r="T136" s="128"/>
      <c r="U136" s="129"/>
      <c r="W136" s="35" t="str">
        <f>"-- "&amp;C136</f>
        <v>-- ベース_MML_検歴情報モジュール_検体コメント登録</v>
      </c>
    </row>
    <row r="137" spans="2:23" ht="18.75" customHeight="1">
      <c r="B137" s="43" t="s">
        <v>159</v>
      </c>
      <c r="C137" s="116"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17"/>
      <c r="E137" s="117"/>
      <c r="F137" s="117"/>
      <c r="G137" s="117"/>
      <c r="H137" s="117"/>
      <c r="I137" s="117"/>
      <c r="J137" s="117"/>
      <c r="K137" s="117"/>
      <c r="L137" s="117"/>
      <c r="M137" s="117"/>
      <c r="N137" s="117"/>
      <c r="O137" s="117"/>
      <c r="P137" s="117"/>
      <c r="Q137" s="117"/>
      <c r="R137" s="117"/>
      <c r="S137" s="117"/>
      <c r="T137" s="117"/>
      <c r="U137" s="118"/>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30" t="s">
        <v>4074</v>
      </c>
      <c r="D139" s="131"/>
      <c r="E139" s="125" t="str">
        <f>エンティティ一覧!$O$2</f>
        <v>milscm_2023_007</v>
      </c>
      <c r="H139" s="36"/>
      <c r="I139" s="36"/>
      <c r="J139" s="36"/>
      <c r="K139" s="36"/>
      <c r="L139" s="36"/>
      <c r="M139" s="36"/>
      <c r="N139" s="36"/>
      <c r="O139" s="36"/>
      <c r="P139" s="36"/>
      <c r="Q139" s="36"/>
      <c r="R139" s="119" t="str">
        <f>"ベース"&amp;SUBSTITUTE(C139,"バックアップ","")</f>
        <v>ベース_MML_検歴情報モジュール_検体コメント</v>
      </c>
      <c r="S139" s="120"/>
      <c r="T139" s="125" t="str">
        <f>エンティティ一覧!$O$2</f>
        <v>milscm_2023_007</v>
      </c>
    </row>
    <row r="140" spans="2:23" ht="18.75" customHeight="1">
      <c r="C140" s="132"/>
      <c r="D140" s="133"/>
      <c r="E140" s="126"/>
      <c r="F140" s="37"/>
      <c r="G140" s="38"/>
      <c r="H140" s="37"/>
      <c r="I140" s="37"/>
      <c r="J140" s="37"/>
      <c r="K140" s="37"/>
      <c r="L140" s="37"/>
      <c r="M140" s="37"/>
      <c r="N140" s="37"/>
      <c r="O140" s="37"/>
      <c r="P140" s="37"/>
      <c r="Q140" s="37"/>
      <c r="R140" s="121"/>
      <c r="S140" s="122"/>
      <c r="T140" s="126"/>
    </row>
    <row r="141" spans="2:23" ht="18.75" customHeight="1">
      <c r="F141" s="39"/>
      <c r="G141" s="40"/>
    </row>
    <row r="142" spans="2:23" ht="18.75" customHeight="1">
      <c r="C142" s="119" t="s">
        <v>3751</v>
      </c>
      <c r="D142" s="120"/>
      <c r="E142" s="125" t="str">
        <f>エンティティ一覧!$O$2</f>
        <v>milscm_2023_007</v>
      </c>
      <c r="G142" s="41"/>
    </row>
    <row r="143" spans="2:23" ht="18.75" customHeight="1">
      <c r="C143" s="121"/>
      <c r="D143" s="122"/>
      <c r="E143" s="126"/>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4075</v>
      </c>
      <c r="D147" s="105"/>
      <c r="W147" s="35" t="str">
        <f>"-- "&amp;B147&amp;" : "&amp;C147</f>
        <v>-- SQL_ID : 31_A6-22</v>
      </c>
    </row>
    <row r="148" spans="2:23" ht="18.75" customHeight="1">
      <c r="B148" s="43" t="s">
        <v>158</v>
      </c>
      <c r="C148" s="127" t="str">
        <f>R151&amp;"登録"</f>
        <v>ベース_MML_検歴情報モジュール_検査項目登録</v>
      </c>
      <c r="D148" s="128"/>
      <c r="E148" s="128"/>
      <c r="F148" s="128"/>
      <c r="G148" s="128"/>
      <c r="H148" s="128"/>
      <c r="I148" s="128"/>
      <c r="J148" s="128"/>
      <c r="K148" s="128"/>
      <c r="L148" s="128"/>
      <c r="M148" s="128"/>
      <c r="N148" s="128"/>
      <c r="O148" s="128"/>
      <c r="P148" s="128"/>
      <c r="Q148" s="128"/>
      <c r="R148" s="128"/>
      <c r="S148" s="128"/>
      <c r="T148" s="128"/>
      <c r="U148" s="129"/>
      <c r="W148" s="35" t="str">
        <f>"-- "&amp;C148</f>
        <v>-- ベース_MML_検歴情報モジュール_検査項目登録</v>
      </c>
    </row>
    <row r="149" spans="2:23" ht="18.75" customHeight="1">
      <c r="B149" s="43" t="s">
        <v>159</v>
      </c>
      <c r="C149" s="116"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17"/>
      <c r="E149" s="117"/>
      <c r="F149" s="117"/>
      <c r="G149" s="117"/>
      <c r="H149" s="117"/>
      <c r="I149" s="117"/>
      <c r="J149" s="117"/>
      <c r="K149" s="117"/>
      <c r="L149" s="117"/>
      <c r="M149" s="117"/>
      <c r="N149" s="117"/>
      <c r="O149" s="117"/>
      <c r="P149" s="117"/>
      <c r="Q149" s="117"/>
      <c r="R149" s="117"/>
      <c r="S149" s="117"/>
      <c r="T149" s="117"/>
      <c r="U149" s="118"/>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30" t="s">
        <v>4076</v>
      </c>
      <c r="D151" s="131"/>
      <c r="E151" s="125" t="str">
        <f>エンティティ一覧!$O$2</f>
        <v>milscm_2023_007</v>
      </c>
      <c r="H151" s="36"/>
      <c r="I151" s="36"/>
      <c r="J151" s="36"/>
      <c r="K151" s="36"/>
      <c r="L151" s="36"/>
      <c r="M151" s="36"/>
      <c r="N151" s="36"/>
      <c r="O151" s="36"/>
      <c r="P151" s="36"/>
      <c r="Q151" s="36"/>
      <c r="R151" s="119" t="str">
        <f>"ベース"&amp;SUBSTITUTE(C151,"バックアップ","")</f>
        <v>ベース_MML_検歴情報モジュール_検査項目</v>
      </c>
      <c r="S151" s="120"/>
      <c r="T151" s="125" t="str">
        <f>エンティティ一覧!$O$2</f>
        <v>milscm_2023_007</v>
      </c>
    </row>
    <row r="152" spans="2:23" ht="18.75" customHeight="1">
      <c r="C152" s="132"/>
      <c r="D152" s="133"/>
      <c r="E152" s="126"/>
      <c r="F152" s="37"/>
      <c r="G152" s="38"/>
      <c r="H152" s="37"/>
      <c r="I152" s="37"/>
      <c r="J152" s="37"/>
      <c r="K152" s="37"/>
      <c r="L152" s="37"/>
      <c r="M152" s="37"/>
      <c r="N152" s="37"/>
      <c r="O152" s="37"/>
      <c r="P152" s="37"/>
      <c r="Q152" s="37"/>
      <c r="R152" s="121"/>
      <c r="S152" s="122"/>
      <c r="T152" s="126"/>
    </row>
    <row r="153" spans="2:23" ht="18.75" customHeight="1">
      <c r="F153" s="39"/>
      <c r="G153" s="40"/>
    </row>
    <row r="154" spans="2:23" ht="18.75" customHeight="1">
      <c r="C154" s="119" t="s">
        <v>3751</v>
      </c>
      <c r="D154" s="120"/>
      <c r="E154" s="125" t="str">
        <f>エンティティ一覧!$O$2</f>
        <v>milscm_2023_007</v>
      </c>
      <c r="G154" s="41"/>
    </row>
    <row r="155" spans="2:23" ht="18.75" customHeight="1">
      <c r="C155" s="121"/>
      <c r="D155" s="122"/>
      <c r="E155" s="126"/>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4077</v>
      </c>
      <c r="D159" s="105"/>
      <c r="W159" s="35" t="str">
        <f>"-- "&amp;B159&amp;" : "&amp;C159</f>
        <v>-- SQL_ID : 31_A6-23</v>
      </c>
    </row>
    <row r="160" spans="2:23" ht="18.75" customHeight="1">
      <c r="B160" s="43" t="s">
        <v>158</v>
      </c>
      <c r="C160" s="127" t="str">
        <f>R163&amp;"登録"</f>
        <v>ベース_MML_検歴情報モジュール_検査項目コメント登録</v>
      </c>
      <c r="D160" s="128"/>
      <c r="E160" s="128"/>
      <c r="F160" s="128"/>
      <c r="G160" s="128"/>
      <c r="H160" s="128"/>
      <c r="I160" s="128"/>
      <c r="J160" s="128"/>
      <c r="K160" s="128"/>
      <c r="L160" s="128"/>
      <c r="M160" s="128"/>
      <c r="N160" s="128"/>
      <c r="O160" s="128"/>
      <c r="P160" s="128"/>
      <c r="Q160" s="128"/>
      <c r="R160" s="128"/>
      <c r="S160" s="128"/>
      <c r="T160" s="128"/>
      <c r="U160" s="129"/>
      <c r="W160" s="35" t="str">
        <f>"-- "&amp;C160</f>
        <v>-- ベース_MML_検歴情報モジュール_検査項目コメント登録</v>
      </c>
    </row>
    <row r="161" spans="2:23" ht="18.75" customHeight="1">
      <c r="B161" s="43" t="s">
        <v>159</v>
      </c>
      <c r="C161" s="116"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17"/>
      <c r="E161" s="117"/>
      <c r="F161" s="117"/>
      <c r="G161" s="117"/>
      <c r="H161" s="117"/>
      <c r="I161" s="117"/>
      <c r="J161" s="117"/>
      <c r="K161" s="117"/>
      <c r="L161" s="117"/>
      <c r="M161" s="117"/>
      <c r="N161" s="117"/>
      <c r="O161" s="117"/>
      <c r="P161" s="117"/>
      <c r="Q161" s="117"/>
      <c r="R161" s="117"/>
      <c r="S161" s="117"/>
      <c r="T161" s="117"/>
      <c r="U161" s="118"/>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30" t="s">
        <v>4078</v>
      </c>
      <c r="D163" s="131"/>
      <c r="E163" s="125" t="str">
        <f>エンティティ一覧!$O$2</f>
        <v>milscm_2023_007</v>
      </c>
      <c r="H163" s="36"/>
      <c r="I163" s="36"/>
      <c r="J163" s="36"/>
      <c r="K163" s="36"/>
      <c r="L163" s="36"/>
      <c r="M163" s="36"/>
      <c r="N163" s="36"/>
      <c r="O163" s="36"/>
      <c r="P163" s="36"/>
      <c r="Q163" s="36"/>
      <c r="R163" s="119" t="str">
        <f>"ベース"&amp;SUBSTITUTE(C163,"バックアップ","")</f>
        <v>ベース_MML_検歴情報モジュール_検査項目コメント</v>
      </c>
      <c r="S163" s="120"/>
      <c r="T163" s="125" t="str">
        <f>エンティティ一覧!$O$2</f>
        <v>milscm_2023_007</v>
      </c>
    </row>
    <row r="164" spans="2:23" ht="18.75" customHeight="1">
      <c r="C164" s="132"/>
      <c r="D164" s="133"/>
      <c r="E164" s="126"/>
      <c r="F164" s="37"/>
      <c r="G164" s="38"/>
      <c r="H164" s="37"/>
      <c r="I164" s="37"/>
      <c r="J164" s="37"/>
      <c r="K164" s="37"/>
      <c r="L164" s="37"/>
      <c r="M164" s="37"/>
      <c r="N164" s="37"/>
      <c r="O164" s="37"/>
      <c r="P164" s="37"/>
      <c r="Q164" s="37"/>
      <c r="R164" s="121"/>
      <c r="S164" s="122"/>
      <c r="T164" s="126"/>
    </row>
    <row r="165" spans="2:23" ht="18.75" customHeight="1">
      <c r="F165" s="39"/>
      <c r="G165" s="40"/>
    </row>
    <row r="166" spans="2:23" ht="18.75" customHeight="1">
      <c r="C166" s="119" t="s">
        <v>3751</v>
      </c>
      <c r="D166" s="120"/>
      <c r="E166" s="125" t="str">
        <f>エンティティ一覧!$O$2</f>
        <v>milscm_2023_007</v>
      </c>
      <c r="G166" s="41"/>
    </row>
    <row r="167" spans="2:23" ht="18.75" customHeight="1">
      <c r="C167" s="121"/>
      <c r="D167" s="122"/>
      <c r="E167" s="126"/>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3766</v>
      </c>
      <c r="D171" s="90"/>
      <c r="W171" s="35" t="str">
        <f>"-- "&amp;B171&amp;" : "&amp;C171</f>
        <v>-- SQL_ID : 31_A6-24</v>
      </c>
    </row>
    <row r="172" spans="2:23" ht="18.75" customHeight="1">
      <c r="B172" s="43" t="s">
        <v>158</v>
      </c>
      <c r="C172" s="127" t="str">
        <f>R175&amp;"登録"</f>
        <v>ベース_MML_処方箋モジュール_本文登録</v>
      </c>
      <c r="D172" s="128"/>
      <c r="E172" s="128"/>
      <c r="F172" s="128"/>
      <c r="G172" s="128"/>
      <c r="H172" s="128"/>
      <c r="I172" s="128"/>
      <c r="J172" s="128"/>
      <c r="K172" s="128"/>
      <c r="L172" s="128"/>
      <c r="M172" s="128"/>
      <c r="N172" s="128"/>
      <c r="O172" s="128"/>
      <c r="P172" s="128"/>
      <c r="Q172" s="128"/>
      <c r="R172" s="128"/>
      <c r="S172" s="128"/>
      <c r="T172" s="128"/>
      <c r="U172" s="129"/>
      <c r="W172" s="35" t="str">
        <f>"-- "&amp;C172</f>
        <v>-- ベース_MML_処方箋モジュール_本文登録</v>
      </c>
    </row>
    <row r="173" spans="2:23" ht="18.75" customHeight="1">
      <c r="B173" s="43" t="s">
        <v>159</v>
      </c>
      <c r="C173" s="116"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17"/>
      <c r="E173" s="117"/>
      <c r="F173" s="117"/>
      <c r="G173" s="117"/>
      <c r="H173" s="117"/>
      <c r="I173" s="117"/>
      <c r="J173" s="117"/>
      <c r="K173" s="117"/>
      <c r="L173" s="117"/>
      <c r="M173" s="117"/>
      <c r="N173" s="117"/>
      <c r="O173" s="117"/>
      <c r="P173" s="117"/>
      <c r="Q173" s="117"/>
      <c r="R173" s="117"/>
      <c r="S173" s="117"/>
      <c r="T173" s="117"/>
      <c r="U173" s="118"/>
      <c r="W173" s="35" t="str">
        <f>"-- "&amp;C173</f>
        <v>-- バックアップ_MML_処方箋モジュール_本文テーブルから対象患者で絞り込んだ結果をベース_MML_処方箋モジュール_本文テーブルに格納する。</v>
      </c>
    </row>
    <row r="175" spans="2:23" ht="18.75" customHeight="1">
      <c r="C175" s="119" t="s">
        <v>3767</v>
      </c>
      <c r="D175" s="120"/>
      <c r="E175" s="125" t="str">
        <f>エンティティ一覧!$O$2</f>
        <v>milscm_2023_007</v>
      </c>
      <c r="H175" s="36"/>
      <c r="I175" s="36"/>
      <c r="J175" s="36"/>
      <c r="K175" s="36"/>
      <c r="L175" s="36"/>
      <c r="M175" s="36"/>
      <c r="N175" s="36"/>
      <c r="O175" s="36"/>
      <c r="P175" s="36"/>
      <c r="Q175" s="36"/>
      <c r="R175" s="119" t="str">
        <f>"ベース"&amp;SUBSTITUTE(C175,"バックアップ","")</f>
        <v>ベース_MML_処方箋モジュール_本文</v>
      </c>
      <c r="S175" s="120"/>
      <c r="T175" s="125" t="str">
        <f>エンティティ一覧!$O$2</f>
        <v>milscm_2023_007</v>
      </c>
    </row>
    <row r="176" spans="2:23" ht="18.75" customHeight="1">
      <c r="C176" s="121"/>
      <c r="D176" s="122"/>
      <c r="E176" s="126"/>
      <c r="F176" s="37"/>
      <c r="G176" s="38"/>
      <c r="H176" s="37"/>
      <c r="I176" s="37"/>
      <c r="J176" s="37"/>
      <c r="K176" s="37"/>
      <c r="L176" s="37"/>
      <c r="M176" s="37"/>
      <c r="N176" s="37"/>
      <c r="O176" s="37"/>
      <c r="P176" s="37"/>
      <c r="Q176" s="37"/>
      <c r="R176" s="121"/>
      <c r="S176" s="122"/>
      <c r="T176" s="126"/>
    </row>
    <row r="177" spans="2:23" ht="18.75" customHeight="1">
      <c r="F177" s="39"/>
      <c r="G177" s="40"/>
    </row>
    <row r="178" spans="2:23" ht="18.75" customHeight="1">
      <c r="C178" s="119" t="s">
        <v>3751</v>
      </c>
      <c r="D178" s="120"/>
      <c r="E178" s="125" t="str">
        <f>エンティティ一覧!$O$2</f>
        <v>milscm_2023_007</v>
      </c>
      <c r="G178" s="41"/>
    </row>
    <row r="179" spans="2:23" ht="18.75" customHeight="1">
      <c r="C179" s="121"/>
      <c r="D179" s="122"/>
      <c r="E179" s="126"/>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3768</v>
      </c>
      <c r="D183" s="90"/>
      <c r="W183" s="35" t="str">
        <f>"-- "&amp;B183&amp;" : "&amp;C183</f>
        <v>-- SQL_ID : 31_A6-25</v>
      </c>
    </row>
    <row r="184" spans="2:23" ht="18.75" customHeight="1">
      <c r="B184" s="43" t="s">
        <v>158</v>
      </c>
      <c r="C184" s="127" t="str">
        <f>R187&amp;"登録"</f>
        <v>ベース_MML_処方箋モジュール_投薬登録</v>
      </c>
      <c r="D184" s="128"/>
      <c r="E184" s="128"/>
      <c r="F184" s="128"/>
      <c r="G184" s="128"/>
      <c r="H184" s="128"/>
      <c r="I184" s="128"/>
      <c r="J184" s="128"/>
      <c r="K184" s="128"/>
      <c r="L184" s="128"/>
      <c r="M184" s="128"/>
      <c r="N184" s="128"/>
      <c r="O184" s="128"/>
      <c r="P184" s="128"/>
      <c r="Q184" s="128"/>
      <c r="R184" s="128"/>
      <c r="S184" s="128"/>
      <c r="T184" s="128"/>
      <c r="U184" s="129"/>
      <c r="W184" s="35" t="str">
        <f>"-- "&amp;C184</f>
        <v>-- ベース_MML_処方箋モジュール_投薬登録</v>
      </c>
    </row>
    <row r="185" spans="2:23" ht="18.75" customHeight="1">
      <c r="B185" s="43" t="s">
        <v>159</v>
      </c>
      <c r="C185" s="116"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17"/>
      <c r="E185" s="117"/>
      <c r="F185" s="117"/>
      <c r="G185" s="117"/>
      <c r="H185" s="117"/>
      <c r="I185" s="117"/>
      <c r="J185" s="117"/>
      <c r="K185" s="117"/>
      <c r="L185" s="117"/>
      <c r="M185" s="117"/>
      <c r="N185" s="117"/>
      <c r="O185" s="117"/>
      <c r="P185" s="117"/>
      <c r="Q185" s="117"/>
      <c r="R185" s="117"/>
      <c r="S185" s="117"/>
      <c r="T185" s="117"/>
      <c r="U185" s="118"/>
      <c r="W185" s="35" t="str">
        <f>"-- "&amp;C185</f>
        <v>-- バックアップ_MML_処方箋モジュール_投薬テーブルから対象患者で絞り込んだ結果をベース_MML_処方箋モジュール_投薬テーブルに格納する。</v>
      </c>
    </row>
    <row r="187" spans="2:23" ht="18.75" customHeight="1">
      <c r="C187" s="119" t="s">
        <v>3769</v>
      </c>
      <c r="D187" s="120"/>
      <c r="E187" s="125" t="str">
        <f>エンティティ一覧!$O$2</f>
        <v>milscm_2023_007</v>
      </c>
      <c r="H187" s="36"/>
      <c r="I187" s="36"/>
      <c r="J187" s="36"/>
      <c r="K187" s="36"/>
      <c r="L187" s="36"/>
      <c r="M187" s="36"/>
      <c r="N187" s="36"/>
      <c r="O187" s="36"/>
      <c r="P187" s="36"/>
      <c r="Q187" s="36"/>
      <c r="R187" s="119" t="str">
        <f>"ベース"&amp;SUBSTITUTE(C187,"バックアップ","")</f>
        <v>ベース_MML_処方箋モジュール_投薬</v>
      </c>
      <c r="S187" s="120"/>
      <c r="T187" s="125" t="str">
        <f>エンティティ一覧!$O$2</f>
        <v>milscm_2023_007</v>
      </c>
    </row>
    <row r="188" spans="2:23" ht="18.75" customHeight="1">
      <c r="C188" s="121"/>
      <c r="D188" s="122"/>
      <c r="E188" s="126"/>
      <c r="F188" s="37"/>
      <c r="G188" s="38"/>
      <c r="H188" s="37"/>
      <c r="I188" s="37"/>
      <c r="J188" s="37"/>
      <c r="K188" s="37"/>
      <c r="L188" s="37"/>
      <c r="M188" s="37"/>
      <c r="N188" s="37"/>
      <c r="O188" s="37"/>
      <c r="P188" s="37"/>
      <c r="Q188" s="37"/>
      <c r="R188" s="121"/>
      <c r="S188" s="122"/>
      <c r="T188" s="126"/>
    </row>
    <row r="189" spans="2:23" ht="18.75" customHeight="1">
      <c r="F189" s="39"/>
      <c r="G189" s="40"/>
    </row>
    <row r="190" spans="2:23" ht="18.75" customHeight="1">
      <c r="C190" s="119" t="s">
        <v>3751</v>
      </c>
      <c r="D190" s="120"/>
      <c r="E190" s="125" t="str">
        <f>エンティティ一覧!$O$2</f>
        <v>milscm_2023_007</v>
      </c>
      <c r="G190" s="41"/>
    </row>
    <row r="191" spans="2:23" ht="18.75" customHeight="1">
      <c r="C191" s="121"/>
      <c r="D191" s="122"/>
      <c r="E191" s="126"/>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3770</v>
      </c>
      <c r="D195" s="90"/>
      <c r="W195" s="35" t="str">
        <f>"-- "&amp;B195&amp;" : "&amp;C195</f>
        <v>-- SQL_ID : 31_A6-26</v>
      </c>
    </row>
    <row r="196" spans="2:23" ht="18.75" customHeight="1">
      <c r="B196" s="43" t="s">
        <v>158</v>
      </c>
      <c r="C196" s="127" t="str">
        <f>R199&amp;"登録"</f>
        <v>ベース_MML_処方箋モジュール_薬剤登録</v>
      </c>
      <c r="D196" s="128"/>
      <c r="E196" s="128"/>
      <c r="F196" s="128"/>
      <c r="G196" s="128"/>
      <c r="H196" s="128"/>
      <c r="I196" s="128"/>
      <c r="J196" s="128"/>
      <c r="K196" s="128"/>
      <c r="L196" s="128"/>
      <c r="M196" s="128"/>
      <c r="N196" s="128"/>
      <c r="O196" s="128"/>
      <c r="P196" s="128"/>
      <c r="Q196" s="128"/>
      <c r="R196" s="128"/>
      <c r="S196" s="128"/>
      <c r="T196" s="128"/>
      <c r="U196" s="129"/>
      <c r="W196" s="35" t="str">
        <f>"-- "&amp;C196</f>
        <v>-- ベース_MML_処方箋モジュール_薬剤登録</v>
      </c>
    </row>
    <row r="197" spans="2:23" ht="18.75" customHeight="1">
      <c r="B197" s="43" t="s">
        <v>159</v>
      </c>
      <c r="C197" s="116"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17"/>
      <c r="E197" s="117"/>
      <c r="F197" s="117"/>
      <c r="G197" s="117"/>
      <c r="H197" s="117"/>
      <c r="I197" s="117"/>
      <c r="J197" s="117"/>
      <c r="K197" s="117"/>
      <c r="L197" s="117"/>
      <c r="M197" s="117"/>
      <c r="N197" s="117"/>
      <c r="O197" s="117"/>
      <c r="P197" s="117"/>
      <c r="Q197" s="117"/>
      <c r="R197" s="117"/>
      <c r="S197" s="117"/>
      <c r="T197" s="117"/>
      <c r="U197" s="118"/>
      <c r="W197" s="35" t="str">
        <f>"-- "&amp;C197</f>
        <v>-- バックアップ_MML_処方箋モジュール_薬剤テーブルから対象患者で絞り込んだ結果をベース_MML_処方箋モジュール_薬剤テーブルに格納する。</v>
      </c>
    </row>
    <row r="199" spans="2:23" ht="18.75" customHeight="1">
      <c r="C199" s="119" t="s">
        <v>3771</v>
      </c>
      <c r="D199" s="120"/>
      <c r="E199" s="125" t="str">
        <f>エンティティ一覧!$O$2</f>
        <v>milscm_2023_007</v>
      </c>
      <c r="H199" s="36"/>
      <c r="I199" s="36"/>
      <c r="J199" s="36"/>
      <c r="K199" s="36"/>
      <c r="L199" s="36"/>
      <c r="M199" s="36"/>
      <c r="N199" s="36"/>
      <c r="O199" s="36"/>
      <c r="P199" s="36"/>
      <c r="Q199" s="36"/>
      <c r="R199" s="119" t="str">
        <f>"ベース"&amp;SUBSTITUTE(C199,"バックアップ","")</f>
        <v>ベース_MML_処方箋モジュール_薬剤</v>
      </c>
      <c r="S199" s="120"/>
      <c r="T199" s="125" t="str">
        <f>エンティティ一覧!$O$2</f>
        <v>milscm_2023_007</v>
      </c>
    </row>
    <row r="200" spans="2:23" ht="18.75" customHeight="1">
      <c r="C200" s="121"/>
      <c r="D200" s="122"/>
      <c r="E200" s="126"/>
      <c r="F200" s="37"/>
      <c r="G200" s="38"/>
      <c r="H200" s="37"/>
      <c r="I200" s="37"/>
      <c r="J200" s="37"/>
      <c r="K200" s="37"/>
      <c r="L200" s="37"/>
      <c r="M200" s="37"/>
      <c r="N200" s="37"/>
      <c r="O200" s="37"/>
      <c r="P200" s="37"/>
      <c r="Q200" s="37"/>
      <c r="R200" s="121"/>
      <c r="S200" s="122"/>
      <c r="T200" s="126"/>
    </row>
    <row r="201" spans="2:23" ht="18.75" customHeight="1">
      <c r="F201" s="39"/>
      <c r="G201" s="40"/>
    </row>
    <row r="202" spans="2:23" ht="18.75" customHeight="1">
      <c r="C202" s="119" t="s">
        <v>3751</v>
      </c>
      <c r="D202" s="120"/>
      <c r="E202" s="125" t="str">
        <f>エンティティ一覧!$O$2</f>
        <v>milscm_2023_007</v>
      </c>
      <c r="G202" s="41"/>
    </row>
    <row r="203" spans="2:23" ht="18.75" customHeight="1">
      <c r="C203" s="121"/>
      <c r="D203" s="122"/>
      <c r="E203" s="126"/>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3746</v>
      </c>
      <c r="D207" s="52"/>
      <c r="W207" s="35" t="str">
        <f>"-- "&amp;B207&amp;" : "&amp;C207</f>
        <v>-- SQL_ID : 31_C1-02</v>
      </c>
    </row>
    <row r="208" spans="2:23" ht="18.75" customHeight="1">
      <c r="B208" s="43" t="s">
        <v>158</v>
      </c>
      <c r="C208" s="127" t="str">
        <f>R211&amp;"登録"</f>
        <v>ベース_DPC調査データ_入院EF統合ファイル登録</v>
      </c>
      <c r="D208" s="128"/>
      <c r="E208" s="128"/>
      <c r="F208" s="128"/>
      <c r="G208" s="128"/>
      <c r="H208" s="128"/>
      <c r="I208" s="128"/>
      <c r="J208" s="128"/>
      <c r="K208" s="128"/>
      <c r="L208" s="128"/>
      <c r="M208" s="128"/>
      <c r="N208" s="128"/>
      <c r="O208" s="128"/>
      <c r="P208" s="128"/>
      <c r="Q208" s="128"/>
      <c r="R208" s="128"/>
      <c r="S208" s="128"/>
      <c r="T208" s="128"/>
      <c r="U208" s="129"/>
      <c r="W208" s="35" t="str">
        <f>"-- "&amp;C208</f>
        <v>-- ベース_DPC調査データ_入院EF統合ファイル登録</v>
      </c>
    </row>
    <row r="209" spans="2:23" ht="18.75" customHeight="1">
      <c r="B209" s="43" t="s">
        <v>159</v>
      </c>
      <c r="C209" s="116"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17"/>
      <c r="E209" s="117"/>
      <c r="F209" s="117"/>
      <c r="G209" s="117"/>
      <c r="H209" s="117"/>
      <c r="I209" s="117"/>
      <c r="J209" s="117"/>
      <c r="K209" s="117"/>
      <c r="L209" s="117"/>
      <c r="M209" s="117"/>
      <c r="N209" s="117"/>
      <c r="O209" s="117"/>
      <c r="P209" s="117"/>
      <c r="Q209" s="117"/>
      <c r="R209" s="117"/>
      <c r="S209" s="117"/>
      <c r="T209" s="117"/>
      <c r="U209" s="118"/>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19" t="s">
        <v>180</v>
      </c>
      <c r="D211" s="120"/>
      <c r="E211" s="125" t="str">
        <f>エンティティ一覧!$O$2</f>
        <v>milscm_2023_007</v>
      </c>
      <c r="H211" s="36"/>
      <c r="I211" s="36"/>
      <c r="J211" s="36"/>
      <c r="K211" s="36"/>
      <c r="L211" s="36"/>
      <c r="M211" s="36"/>
      <c r="N211" s="36"/>
      <c r="O211" s="36"/>
      <c r="P211" s="36"/>
      <c r="Q211" s="36"/>
      <c r="R211" s="119" t="str">
        <f>"ベース"&amp;SUBSTITUTE(C211,"バックアップ","")</f>
        <v>ベース_DPC調査データ_入院EF統合ファイル</v>
      </c>
      <c r="S211" s="120"/>
      <c r="T211" s="125" t="str">
        <f>エンティティ一覧!$O$2</f>
        <v>milscm_2023_007</v>
      </c>
    </row>
    <row r="212" spans="2:23" ht="18.75" customHeight="1">
      <c r="C212" s="121"/>
      <c r="D212" s="122"/>
      <c r="E212" s="126"/>
      <c r="F212" s="37"/>
      <c r="G212" s="38"/>
      <c r="H212" s="37"/>
      <c r="I212" s="37"/>
      <c r="J212" s="37"/>
      <c r="K212" s="37"/>
      <c r="L212" s="37"/>
      <c r="M212" s="37"/>
      <c r="N212" s="37"/>
      <c r="O212" s="37"/>
      <c r="P212" s="37"/>
      <c r="Q212" s="37"/>
      <c r="R212" s="121"/>
      <c r="S212" s="122"/>
      <c r="T212" s="126"/>
    </row>
    <row r="213" spans="2:23" ht="18.75" customHeight="1">
      <c r="F213" s="39"/>
      <c r="G213" s="40"/>
    </row>
    <row r="214" spans="2:23" ht="18.75" customHeight="1">
      <c r="C214" s="119" t="s">
        <v>3751</v>
      </c>
      <c r="D214" s="120"/>
      <c r="E214" s="125" t="str">
        <f>エンティティ一覧!$O$2</f>
        <v>milscm_2023_007</v>
      </c>
      <c r="G214" s="41"/>
    </row>
    <row r="215" spans="2:23" ht="18.75" customHeight="1">
      <c r="C215" s="121"/>
      <c r="D215" s="122"/>
      <c r="E215" s="126"/>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3747</v>
      </c>
      <c r="D219" s="52"/>
      <c r="W219" s="35" t="str">
        <f>"-- "&amp;B219&amp;" : "&amp;C219</f>
        <v>-- SQL_ID : 31_C1-03</v>
      </c>
    </row>
    <row r="220" spans="2:23" ht="18.75" customHeight="1">
      <c r="B220" s="43" t="s">
        <v>158</v>
      </c>
      <c r="C220" s="127" t="str">
        <f>R223&amp;"登録"</f>
        <v>ベース_DPC調査データ_外来EF統合ファイル登録</v>
      </c>
      <c r="D220" s="128"/>
      <c r="E220" s="128"/>
      <c r="F220" s="128"/>
      <c r="G220" s="128"/>
      <c r="H220" s="128"/>
      <c r="I220" s="128"/>
      <c r="J220" s="128"/>
      <c r="K220" s="128"/>
      <c r="L220" s="128"/>
      <c r="M220" s="128"/>
      <c r="N220" s="128"/>
      <c r="O220" s="128"/>
      <c r="P220" s="128"/>
      <c r="Q220" s="128"/>
      <c r="R220" s="128"/>
      <c r="S220" s="128"/>
      <c r="T220" s="128"/>
      <c r="U220" s="129"/>
      <c r="W220" s="35" t="str">
        <f>"-- "&amp;C220</f>
        <v>-- ベース_DPC調査データ_外来EF統合ファイル登録</v>
      </c>
    </row>
    <row r="221" spans="2:23" ht="18.75" customHeight="1">
      <c r="B221" s="43" t="s">
        <v>159</v>
      </c>
      <c r="C221" s="116"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17"/>
      <c r="E221" s="117"/>
      <c r="F221" s="117"/>
      <c r="G221" s="117"/>
      <c r="H221" s="117"/>
      <c r="I221" s="117"/>
      <c r="J221" s="117"/>
      <c r="K221" s="117"/>
      <c r="L221" s="117"/>
      <c r="M221" s="117"/>
      <c r="N221" s="117"/>
      <c r="O221" s="117"/>
      <c r="P221" s="117"/>
      <c r="Q221" s="117"/>
      <c r="R221" s="117"/>
      <c r="S221" s="117"/>
      <c r="T221" s="117"/>
      <c r="U221" s="118"/>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19" t="s">
        <v>181</v>
      </c>
      <c r="D223" s="120"/>
      <c r="E223" s="125" t="str">
        <f>エンティティ一覧!$O$2</f>
        <v>milscm_2023_007</v>
      </c>
      <c r="H223" s="36"/>
      <c r="I223" s="36"/>
      <c r="J223" s="36"/>
      <c r="K223" s="36"/>
      <c r="L223" s="36"/>
      <c r="M223" s="36"/>
      <c r="N223" s="36"/>
      <c r="O223" s="36"/>
      <c r="P223" s="36"/>
      <c r="Q223" s="36"/>
      <c r="R223" s="119" t="str">
        <f>"ベース"&amp;SUBSTITUTE(C223,"バックアップ","")</f>
        <v>ベース_DPC調査データ_外来EF統合ファイル</v>
      </c>
      <c r="S223" s="120"/>
      <c r="T223" s="125" t="str">
        <f>エンティティ一覧!$O$2</f>
        <v>milscm_2023_007</v>
      </c>
    </row>
    <row r="224" spans="2:23" ht="18.75" customHeight="1">
      <c r="C224" s="121"/>
      <c r="D224" s="122"/>
      <c r="E224" s="126"/>
      <c r="F224" s="37"/>
      <c r="G224" s="38"/>
      <c r="H224" s="37"/>
      <c r="I224" s="37"/>
      <c r="J224" s="37"/>
      <c r="K224" s="37"/>
      <c r="L224" s="37"/>
      <c r="M224" s="37"/>
      <c r="N224" s="37"/>
      <c r="O224" s="37"/>
      <c r="P224" s="37"/>
      <c r="Q224" s="37"/>
      <c r="R224" s="121"/>
      <c r="S224" s="122"/>
      <c r="T224" s="126"/>
    </row>
    <row r="225" spans="2:23" ht="18.75" customHeight="1">
      <c r="F225" s="39"/>
      <c r="G225" s="40"/>
    </row>
    <row r="226" spans="2:23" ht="18.75" customHeight="1">
      <c r="C226" s="119" t="s">
        <v>3751</v>
      </c>
      <c r="D226" s="120"/>
      <c r="E226" s="125" t="str">
        <f>エンティティ一覧!$O$2</f>
        <v>milscm_2023_007</v>
      </c>
      <c r="G226" s="41"/>
    </row>
    <row r="227" spans="2:23" ht="18.75" customHeight="1">
      <c r="C227" s="121"/>
      <c r="D227" s="122"/>
      <c r="E227" s="126"/>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3748</v>
      </c>
      <c r="D231" s="52"/>
      <c r="W231" s="35" t="str">
        <f>"-- "&amp;B231&amp;" : "&amp;C231</f>
        <v>-- SQL_ID : 31_C1-05</v>
      </c>
    </row>
    <row r="232" spans="2:23" ht="18.75" customHeight="1">
      <c r="B232" s="43" t="s">
        <v>158</v>
      </c>
      <c r="C232" s="127" t="str">
        <f>R235&amp;"登録"</f>
        <v>ベース_DPC調査データ_様式1登録</v>
      </c>
      <c r="D232" s="128"/>
      <c r="E232" s="128"/>
      <c r="F232" s="128"/>
      <c r="G232" s="128"/>
      <c r="H232" s="128"/>
      <c r="I232" s="128"/>
      <c r="J232" s="128"/>
      <c r="K232" s="128"/>
      <c r="L232" s="128"/>
      <c r="M232" s="128"/>
      <c r="N232" s="128"/>
      <c r="O232" s="128"/>
      <c r="P232" s="128"/>
      <c r="Q232" s="128"/>
      <c r="R232" s="128"/>
      <c r="S232" s="128"/>
      <c r="T232" s="128"/>
      <c r="U232" s="129"/>
      <c r="W232" s="35" t="str">
        <f>"-- "&amp;C232</f>
        <v>-- ベース_DPC調査データ_様式1登録</v>
      </c>
    </row>
    <row r="233" spans="2:23" ht="18.75" customHeight="1">
      <c r="B233" s="43" t="s">
        <v>159</v>
      </c>
      <c r="C233" s="116"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17"/>
      <c r="E233" s="117"/>
      <c r="F233" s="117"/>
      <c r="G233" s="117"/>
      <c r="H233" s="117"/>
      <c r="I233" s="117"/>
      <c r="J233" s="117"/>
      <c r="K233" s="117"/>
      <c r="L233" s="117"/>
      <c r="M233" s="117"/>
      <c r="N233" s="117"/>
      <c r="O233" s="117"/>
      <c r="P233" s="117"/>
      <c r="Q233" s="117"/>
      <c r="R233" s="117"/>
      <c r="S233" s="117"/>
      <c r="T233" s="117"/>
      <c r="U233" s="118"/>
      <c r="W233" s="35" t="str">
        <f>"-- "&amp;C233</f>
        <v>-- バックアップ_DPC調査データ_様式1テーブルから対象患者で絞り込んだ結果をベース_DPC調査データ_様式1テーブルに格納する。</v>
      </c>
    </row>
    <row r="235" spans="2:23" ht="18.75" customHeight="1">
      <c r="C235" s="119" t="s">
        <v>182</v>
      </c>
      <c r="D235" s="120"/>
      <c r="E235" s="125" t="str">
        <f>エンティティ一覧!$O$2</f>
        <v>milscm_2023_007</v>
      </c>
      <c r="H235" s="36"/>
      <c r="I235" s="36"/>
      <c r="J235" s="36"/>
      <c r="K235" s="36"/>
      <c r="L235" s="36"/>
      <c r="M235" s="36"/>
      <c r="N235" s="36"/>
      <c r="O235" s="36"/>
      <c r="P235" s="36"/>
      <c r="Q235" s="36"/>
      <c r="R235" s="119" t="str">
        <f>"ベース"&amp;SUBSTITUTE(C235,"バックアップ","")</f>
        <v>ベース_DPC調査データ_様式1</v>
      </c>
      <c r="S235" s="120"/>
      <c r="T235" s="125" t="str">
        <f>エンティティ一覧!$O$2</f>
        <v>milscm_2023_007</v>
      </c>
    </row>
    <row r="236" spans="2:23" ht="18.75" customHeight="1">
      <c r="C236" s="121"/>
      <c r="D236" s="122"/>
      <c r="E236" s="126"/>
      <c r="F236" s="37"/>
      <c r="G236" s="38"/>
      <c r="H236" s="37"/>
      <c r="I236" s="37"/>
      <c r="J236" s="37"/>
      <c r="K236" s="37"/>
      <c r="L236" s="37"/>
      <c r="M236" s="37"/>
      <c r="N236" s="37"/>
      <c r="O236" s="37"/>
      <c r="P236" s="37"/>
      <c r="Q236" s="37"/>
      <c r="R236" s="121"/>
      <c r="S236" s="122"/>
      <c r="T236" s="126"/>
    </row>
    <row r="237" spans="2:23" ht="18.75" customHeight="1">
      <c r="F237" s="39"/>
      <c r="G237" s="40"/>
    </row>
    <row r="238" spans="2:23" ht="18.75" customHeight="1">
      <c r="C238" s="119" t="s">
        <v>3751</v>
      </c>
      <c r="D238" s="120"/>
      <c r="E238" s="125" t="str">
        <f>エンティティ一覧!$O$2</f>
        <v>milscm_2023_007</v>
      </c>
      <c r="G238" s="41"/>
    </row>
    <row r="239" spans="2:23" ht="18.75" customHeight="1">
      <c r="C239" s="121"/>
      <c r="D239" s="122"/>
      <c r="E239" s="126"/>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3749</v>
      </c>
      <c r="D243" s="52"/>
      <c r="W243" s="35" t="str">
        <f>"-- "&amp;B243&amp;" : "&amp;C243</f>
        <v>-- SQL_ID : 31_C1-07</v>
      </c>
    </row>
    <row r="244" spans="2:23" ht="18.75" customHeight="1">
      <c r="B244" s="43" t="s">
        <v>158</v>
      </c>
      <c r="C244" s="127" t="str">
        <f>R247&amp;"登録"</f>
        <v>ベース_DPC調査データ_様式1_診断情報_併存症登録</v>
      </c>
      <c r="D244" s="128"/>
      <c r="E244" s="128"/>
      <c r="F244" s="128"/>
      <c r="G244" s="128"/>
      <c r="H244" s="128"/>
      <c r="I244" s="128"/>
      <c r="J244" s="128"/>
      <c r="K244" s="128"/>
      <c r="L244" s="128"/>
      <c r="M244" s="128"/>
      <c r="N244" s="128"/>
      <c r="O244" s="128"/>
      <c r="P244" s="128"/>
      <c r="Q244" s="128"/>
      <c r="R244" s="128"/>
      <c r="S244" s="128"/>
      <c r="T244" s="128"/>
      <c r="U244" s="129"/>
      <c r="W244" s="35" t="str">
        <f>"-- "&amp;C244</f>
        <v>-- ベース_DPC調査データ_様式1_診断情報_併存症登録</v>
      </c>
    </row>
    <row r="245" spans="2:23" ht="18.75" customHeight="1">
      <c r="B245" s="43" t="s">
        <v>159</v>
      </c>
      <c r="C245" s="116"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17"/>
      <c r="E245" s="117"/>
      <c r="F245" s="117"/>
      <c r="G245" s="117"/>
      <c r="H245" s="117"/>
      <c r="I245" s="117"/>
      <c r="J245" s="117"/>
      <c r="K245" s="117"/>
      <c r="L245" s="117"/>
      <c r="M245" s="117"/>
      <c r="N245" s="117"/>
      <c r="O245" s="117"/>
      <c r="P245" s="117"/>
      <c r="Q245" s="117"/>
      <c r="R245" s="117"/>
      <c r="S245" s="117"/>
      <c r="T245" s="117"/>
      <c r="U245" s="118"/>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19" t="s">
        <v>183</v>
      </c>
      <c r="D247" s="120"/>
      <c r="E247" s="125" t="str">
        <f>エンティティ一覧!$O$2</f>
        <v>milscm_2023_007</v>
      </c>
      <c r="H247" s="36"/>
      <c r="I247" s="36"/>
      <c r="J247" s="36"/>
      <c r="K247" s="36"/>
      <c r="L247" s="36"/>
      <c r="M247" s="36"/>
      <c r="N247" s="36"/>
      <c r="O247" s="36"/>
      <c r="P247" s="36"/>
      <c r="Q247" s="36"/>
      <c r="R247" s="119" t="str">
        <f>"ベース"&amp;SUBSTITUTE(C247,"バックアップ","")</f>
        <v>ベース_DPC調査データ_様式1_診断情報_併存症</v>
      </c>
      <c r="S247" s="120"/>
      <c r="T247" s="125" t="str">
        <f>エンティティ一覧!$O$2</f>
        <v>milscm_2023_007</v>
      </c>
    </row>
    <row r="248" spans="2:23" ht="18.75" customHeight="1">
      <c r="C248" s="121"/>
      <c r="D248" s="122"/>
      <c r="E248" s="126"/>
      <c r="F248" s="37"/>
      <c r="G248" s="38"/>
      <c r="H248" s="37"/>
      <c r="I248" s="37"/>
      <c r="J248" s="37"/>
      <c r="K248" s="37"/>
      <c r="L248" s="37"/>
      <c r="M248" s="37"/>
      <c r="N248" s="37"/>
      <c r="O248" s="37"/>
      <c r="P248" s="37"/>
      <c r="Q248" s="37"/>
      <c r="R248" s="121"/>
      <c r="S248" s="122"/>
      <c r="T248" s="126"/>
    </row>
    <row r="249" spans="2:23" ht="18.75" customHeight="1">
      <c r="F249" s="39"/>
      <c r="G249" s="40"/>
    </row>
    <row r="250" spans="2:23" ht="18.75" customHeight="1">
      <c r="C250" s="119" t="s">
        <v>3751</v>
      </c>
      <c r="D250" s="120"/>
      <c r="E250" s="125" t="str">
        <f>エンティティ一覧!$O$2</f>
        <v>milscm_2023_007</v>
      </c>
      <c r="G250" s="41"/>
    </row>
    <row r="251" spans="2:23" ht="18.75" customHeight="1">
      <c r="C251" s="121"/>
      <c r="D251" s="122"/>
      <c r="E251" s="126"/>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3750</v>
      </c>
      <c r="D255" s="52"/>
      <c r="W255" s="35" t="str">
        <f>"-- "&amp;B255&amp;" : "&amp;C255</f>
        <v>-- SQL_ID : 31_C1-08</v>
      </c>
    </row>
    <row r="256" spans="2:23" ht="18.75" customHeight="1">
      <c r="B256" s="43" t="s">
        <v>158</v>
      </c>
      <c r="C256" s="127" t="str">
        <f>R259&amp;"登録"</f>
        <v>ベース_DPC調査データ_様式1_診断情報_続発症登録</v>
      </c>
      <c r="D256" s="128"/>
      <c r="E256" s="128"/>
      <c r="F256" s="128"/>
      <c r="G256" s="128"/>
      <c r="H256" s="128"/>
      <c r="I256" s="128"/>
      <c r="J256" s="128"/>
      <c r="K256" s="128"/>
      <c r="L256" s="128"/>
      <c r="M256" s="128"/>
      <c r="N256" s="128"/>
      <c r="O256" s="128"/>
      <c r="P256" s="128"/>
      <c r="Q256" s="128"/>
      <c r="R256" s="128"/>
      <c r="S256" s="128"/>
      <c r="T256" s="128"/>
      <c r="U256" s="129"/>
      <c r="W256" s="35" t="str">
        <f>"-- "&amp;C256</f>
        <v>-- ベース_DPC調査データ_様式1_診断情報_続発症登録</v>
      </c>
    </row>
    <row r="257" spans="2:23" ht="18.75" customHeight="1">
      <c r="B257" s="43" t="s">
        <v>159</v>
      </c>
      <c r="C257" s="116"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17"/>
      <c r="E257" s="117"/>
      <c r="F257" s="117"/>
      <c r="G257" s="117"/>
      <c r="H257" s="117"/>
      <c r="I257" s="117"/>
      <c r="J257" s="117"/>
      <c r="K257" s="117"/>
      <c r="L257" s="117"/>
      <c r="M257" s="117"/>
      <c r="N257" s="117"/>
      <c r="O257" s="117"/>
      <c r="P257" s="117"/>
      <c r="Q257" s="117"/>
      <c r="R257" s="117"/>
      <c r="S257" s="117"/>
      <c r="T257" s="117"/>
      <c r="U257" s="118"/>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19" t="s">
        <v>184</v>
      </c>
      <c r="D259" s="120"/>
      <c r="E259" s="125" t="str">
        <f>エンティティ一覧!$O$2</f>
        <v>milscm_2023_007</v>
      </c>
      <c r="H259" s="36"/>
      <c r="I259" s="36"/>
      <c r="J259" s="36"/>
      <c r="K259" s="36"/>
      <c r="L259" s="36"/>
      <c r="M259" s="36"/>
      <c r="N259" s="36"/>
      <c r="O259" s="36"/>
      <c r="P259" s="36"/>
      <c r="Q259" s="36"/>
      <c r="R259" s="119" t="str">
        <f>"ベース"&amp;SUBSTITUTE(C259,"バックアップ","")</f>
        <v>ベース_DPC調査データ_様式1_診断情報_続発症</v>
      </c>
      <c r="S259" s="120"/>
      <c r="T259" s="125" t="str">
        <f>エンティティ一覧!$O$2</f>
        <v>milscm_2023_007</v>
      </c>
    </row>
    <row r="260" spans="2:23" ht="18.75" customHeight="1">
      <c r="C260" s="121"/>
      <c r="D260" s="122"/>
      <c r="E260" s="126"/>
      <c r="F260" s="37"/>
      <c r="G260" s="38"/>
      <c r="H260" s="37"/>
      <c r="I260" s="37"/>
      <c r="J260" s="37"/>
      <c r="K260" s="37"/>
      <c r="L260" s="37"/>
      <c r="M260" s="37"/>
      <c r="N260" s="37"/>
      <c r="O260" s="37"/>
      <c r="P260" s="37"/>
      <c r="Q260" s="37"/>
      <c r="R260" s="121"/>
      <c r="S260" s="122"/>
      <c r="T260" s="126"/>
    </row>
    <row r="261" spans="2:23" ht="18.75" customHeight="1">
      <c r="F261" s="39"/>
      <c r="G261" s="40"/>
    </row>
    <row r="262" spans="2:23" ht="18.75" customHeight="1">
      <c r="C262" s="119" t="s">
        <v>3751</v>
      </c>
      <c r="D262" s="120"/>
      <c r="E262" s="125" t="str">
        <f>エンティティ一覧!$O$2</f>
        <v>milscm_2023_007</v>
      </c>
      <c r="G262" s="41"/>
    </row>
    <row r="263" spans="2:23" ht="18.75" customHeight="1">
      <c r="C263" s="121"/>
      <c r="D263" s="122"/>
      <c r="E263" s="126"/>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3773</v>
      </c>
      <c r="D267" s="90"/>
      <c r="W267" s="35" t="str">
        <f>"-- "&amp;B267&amp;" : "&amp;C267</f>
        <v>-- SQL_ID : 31_C4-03</v>
      </c>
    </row>
    <row r="268" spans="2:23" ht="18.75" customHeight="1">
      <c r="B268" s="43" t="s">
        <v>158</v>
      </c>
      <c r="C268" s="127" t="str">
        <f>R271&amp;"登録"</f>
        <v>ベース_診断履歴情報モジュール_診断履歴情報レコード登録</v>
      </c>
      <c r="D268" s="128"/>
      <c r="E268" s="128"/>
      <c r="F268" s="128"/>
      <c r="G268" s="128"/>
      <c r="H268" s="128"/>
      <c r="I268" s="128"/>
      <c r="J268" s="128"/>
      <c r="K268" s="128"/>
      <c r="L268" s="128"/>
      <c r="M268" s="128"/>
      <c r="N268" s="128"/>
      <c r="O268" s="128"/>
      <c r="P268" s="128"/>
      <c r="Q268" s="128"/>
      <c r="R268" s="128"/>
      <c r="S268" s="128"/>
      <c r="T268" s="128"/>
      <c r="U268" s="129"/>
      <c r="W268" s="35" t="str">
        <f>"-- "&amp;C268</f>
        <v>-- ベース_診断履歴情報モジュール_診断履歴情報レコード登録</v>
      </c>
    </row>
    <row r="269" spans="2:23" ht="18.75" customHeight="1">
      <c r="B269" s="43" t="s">
        <v>159</v>
      </c>
      <c r="C269" s="116"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17"/>
      <c r="E269" s="117"/>
      <c r="F269" s="117"/>
      <c r="G269" s="117"/>
      <c r="H269" s="117"/>
      <c r="I269" s="117"/>
      <c r="J269" s="117"/>
      <c r="K269" s="117"/>
      <c r="L269" s="117"/>
      <c r="M269" s="117"/>
      <c r="N269" s="117"/>
      <c r="O269" s="117"/>
      <c r="P269" s="117"/>
      <c r="Q269" s="117"/>
      <c r="R269" s="117"/>
      <c r="S269" s="117"/>
      <c r="T269" s="117"/>
      <c r="U269" s="118"/>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38" t="s">
        <v>3774</v>
      </c>
      <c r="D271" s="139"/>
      <c r="E271" s="125" t="str">
        <f>エンティティ一覧!$O$2</f>
        <v>milscm_2023_007</v>
      </c>
      <c r="H271" s="36"/>
      <c r="I271" s="36"/>
      <c r="J271" s="36"/>
      <c r="K271" s="36"/>
      <c r="L271" s="36"/>
      <c r="M271" s="36"/>
      <c r="N271" s="36"/>
      <c r="O271" s="36"/>
      <c r="P271" s="36"/>
      <c r="Q271" s="36"/>
      <c r="R271" s="119" t="str">
        <f>"ベース"&amp;SUBSTITUTE(C271,"バックアップ","")</f>
        <v>ベース_診断履歴情報モジュール_診断履歴情報レコード</v>
      </c>
      <c r="S271" s="120"/>
      <c r="T271" s="125" t="str">
        <f>エンティティ一覧!$O$2</f>
        <v>milscm_2023_007</v>
      </c>
    </row>
    <row r="272" spans="2:23" ht="18.75" customHeight="1">
      <c r="C272" s="140"/>
      <c r="D272" s="141"/>
      <c r="E272" s="126"/>
      <c r="F272" s="37"/>
      <c r="G272" s="38"/>
      <c r="H272" s="37"/>
      <c r="I272" s="37"/>
      <c r="J272" s="37"/>
      <c r="K272" s="37"/>
      <c r="L272" s="37"/>
      <c r="M272" s="37"/>
      <c r="N272" s="37"/>
      <c r="O272" s="37"/>
      <c r="P272" s="37"/>
      <c r="Q272" s="37"/>
      <c r="R272" s="121"/>
      <c r="S272" s="122"/>
      <c r="T272" s="126"/>
    </row>
    <row r="273" spans="2:23" ht="18.75" customHeight="1">
      <c r="F273" s="39"/>
      <c r="G273" s="40"/>
    </row>
    <row r="274" spans="2:23" ht="18.75" customHeight="1">
      <c r="C274" s="119" t="s">
        <v>3751</v>
      </c>
      <c r="D274" s="120"/>
      <c r="E274" s="125" t="str">
        <f>エンティティ一覧!$O$2</f>
        <v>milscm_2023_007</v>
      </c>
      <c r="G274" s="41"/>
    </row>
    <row r="275" spans="2:23" ht="18.75" customHeight="1">
      <c r="C275" s="121"/>
      <c r="D275" s="122"/>
      <c r="E275" s="126"/>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3772</v>
      </c>
      <c r="D279" s="90"/>
      <c r="W279" s="35" t="str">
        <f>"-- "&amp;B279&amp;" : "&amp;C279</f>
        <v>-- SQL_ID : 31_C4-04</v>
      </c>
    </row>
    <row r="280" spans="2:23" ht="18.75" customHeight="1">
      <c r="B280" s="43" t="s">
        <v>158</v>
      </c>
      <c r="C280" s="127" t="str">
        <f>R283&amp;"登録"</f>
        <v>ベース_診断履歴情報モジュール_診断病名レコード登録</v>
      </c>
      <c r="D280" s="128"/>
      <c r="E280" s="128"/>
      <c r="F280" s="128"/>
      <c r="G280" s="128"/>
      <c r="H280" s="128"/>
      <c r="I280" s="128"/>
      <c r="J280" s="128"/>
      <c r="K280" s="128"/>
      <c r="L280" s="128"/>
      <c r="M280" s="128"/>
      <c r="N280" s="128"/>
      <c r="O280" s="128"/>
      <c r="P280" s="128"/>
      <c r="Q280" s="128"/>
      <c r="R280" s="128"/>
      <c r="S280" s="128"/>
      <c r="T280" s="128"/>
      <c r="U280" s="129"/>
      <c r="W280" s="35" t="str">
        <f>"-- "&amp;C280</f>
        <v>-- ベース_診断履歴情報モジュール_診断病名レコード登録</v>
      </c>
    </row>
    <row r="281" spans="2:23" ht="18.75" customHeight="1">
      <c r="B281" s="43" t="s">
        <v>159</v>
      </c>
      <c r="C281" s="116"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17"/>
      <c r="E281" s="117"/>
      <c r="F281" s="117"/>
      <c r="G281" s="117"/>
      <c r="H281" s="117"/>
      <c r="I281" s="117"/>
      <c r="J281" s="117"/>
      <c r="K281" s="117"/>
      <c r="L281" s="117"/>
      <c r="M281" s="117"/>
      <c r="N281" s="117"/>
      <c r="O281" s="117"/>
      <c r="P281" s="117"/>
      <c r="Q281" s="117"/>
      <c r="R281" s="117"/>
      <c r="S281" s="117"/>
      <c r="T281" s="117"/>
      <c r="U281" s="118"/>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38" t="s">
        <v>3775</v>
      </c>
      <c r="D283" s="139"/>
      <c r="E283" s="125" t="str">
        <f>エンティティ一覧!$O$2</f>
        <v>milscm_2023_007</v>
      </c>
      <c r="H283" s="36"/>
      <c r="I283" s="36"/>
      <c r="J283" s="36"/>
      <c r="K283" s="36"/>
      <c r="L283" s="36"/>
      <c r="M283" s="36"/>
      <c r="N283" s="36"/>
      <c r="O283" s="36"/>
      <c r="P283" s="36"/>
      <c r="Q283" s="36"/>
      <c r="R283" s="119" t="str">
        <f>"ベース"&amp;SUBSTITUTE(C283,"バックアップ","")</f>
        <v>ベース_診断履歴情報モジュール_診断病名レコード</v>
      </c>
      <c r="S283" s="120"/>
      <c r="T283" s="125" t="str">
        <f>エンティティ一覧!$O$2</f>
        <v>milscm_2023_007</v>
      </c>
    </row>
    <row r="284" spans="2:23" ht="18.75" customHeight="1">
      <c r="C284" s="140"/>
      <c r="D284" s="141"/>
      <c r="E284" s="126"/>
      <c r="F284" s="37"/>
      <c r="G284" s="38"/>
      <c r="H284" s="37"/>
      <c r="I284" s="37"/>
      <c r="J284" s="37"/>
      <c r="K284" s="37"/>
      <c r="L284" s="37"/>
      <c r="M284" s="37"/>
      <c r="N284" s="37"/>
      <c r="O284" s="37"/>
      <c r="P284" s="37"/>
      <c r="Q284" s="37"/>
      <c r="R284" s="121"/>
      <c r="S284" s="122"/>
      <c r="T284" s="126"/>
    </row>
    <row r="285" spans="2:23" ht="18.75" customHeight="1">
      <c r="F285" s="39"/>
      <c r="G285" s="40"/>
    </row>
    <row r="286" spans="2:23" ht="18.75" customHeight="1">
      <c r="C286" s="119" t="s">
        <v>3751</v>
      </c>
      <c r="D286" s="120"/>
      <c r="E286" s="125" t="str">
        <f>エンティティ一覧!$O$2</f>
        <v>milscm_2023_007</v>
      </c>
      <c r="G286" s="41"/>
    </row>
    <row r="287" spans="2:23" ht="18.75" customHeight="1">
      <c r="C287" s="121"/>
      <c r="D287" s="122"/>
      <c r="E287" s="126"/>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3777</v>
      </c>
      <c r="D291" s="90"/>
      <c r="W291" s="35" t="str">
        <f>"-- "&amp;B291&amp;" : "&amp;C291</f>
        <v>-- SQL_ID : 31_C4-06</v>
      </c>
    </row>
    <row r="292" spans="2:23" ht="18.75" customHeight="1">
      <c r="B292" s="43" t="s">
        <v>158</v>
      </c>
      <c r="C292" s="127" t="str">
        <f>R295&amp;"登録"</f>
        <v>ベース_経過記録情報モジュール_経過記録情報レコード登録</v>
      </c>
      <c r="D292" s="128"/>
      <c r="E292" s="128"/>
      <c r="F292" s="128"/>
      <c r="G292" s="128"/>
      <c r="H292" s="128"/>
      <c r="I292" s="128"/>
      <c r="J292" s="128"/>
      <c r="K292" s="128"/>
      <c r="L292" s="128"/>
      <c r="M292" s="128"/>
      <c r="N292" s="128"/>
      <c r="O292" s="128"/>
      <c r="P292" s="128"/>
      <c r="Q292" s="128"/>
      <c r="R292" s="128"/>
      <c r="S292" s="128"/>
      <c r="T292" s="128"/>
      <c r="U292" s="129"/>
      <c r="W292" s="35" t="str">
        <f>"-- "&amp;C292</f>
        <v>-- ベース_経過記録情報モジュール_経過記録情報レコード登録</v>
      </c>
    </row>
    <row r="293" spans="2:23" ht="18.75" customHeight="1">
      <c r="B293" s="43" t="s">
        <v>159</v>
      </c>
      <c r="C293" s="116"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17"/>
      <c r="E293" s="117"/>
      <c r="F293" s="117"/>
      <c r="G293" s="117"/>
      <c r="H293" s="117"/>
      <c r="I293" s="117"/>
      <c r="J293" s="117"/>
      <c r="K293" s="117"/>
      <c r="L293" s="117"/>
      <c r="M293" s="117"/>
      <c r="N293" s="117"/>
      <c r="O293" s="117"/>
      <c r="P293" s="117"/>
      <c r="Q293" s="117"/>
      <c r="R293" s="117"/>
      <c r="S293" s="117"/>
      <c r="T293" s="117"/>
      <c r="U293" s="118"/>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38" t="s">
        <v>3776</v>
      </c>
      <c r="D295" s="139"/>
      <c r="E295" s="125" t="str">
        <f>エンティティ一覧!$O$2</f>
        <v>milscm_2023_007</v>
      </c>
      <c r="H295" s="36"/>
      <c r="I295" s="36"/>
      <c r="J295" s="36"/>
      <c r="K295" s="36"/>
      <c r="L295" s="36"/>
      <c r="M295" s="36"/>
      <c r="N295" s="36"/>
      <c r="O295" s="36"/>
      <c r="P295" s="36"/>
      <c r="Q295" s="36"/>
      <c r="R295" s="119" t="str">
        <f>"ベース"&amp;SUBSTITUTE(C295,"バックアップ","")</f>
        <v>ベース_経過記録情報モジュール_経過記録情報レコード</v>
      </c>
      <c r="S295" s="120"/>
      <c r="T295" s="125" t="str">
        <f>エンティティ一覧!$O$2</f>
        <v>milscm_2023_007</v>
      </c>
    </row>
    <row r="296" spans="2:23" ht="18.75" customHeight="1">
      <c r="C296" s="140"/>
      <c r="D296" s="141"/>
      <c r="E296" s="126"/>
      <c r="F296" s="37"/>
      <c r="G296" s="38"/>
      <c r="H296" s="37"/>
      <c r="I296" s="37"/>
      <c r="J296" s="37"/>
      <c r="K296" s="37"/>
      <c r="L296" s="37"/>
      <c r="M296" s="37"/>
      <c r="N296" s="37"/>
      <c r="O296" s="37"/>
      <c r="P296" s="37"/>
      <c r="Q296" s="37"/>
      <c r="R296" s="121"/>
      <c r="S296" s="122"/>
      <c r="T296" s="126"/>
    </row>
    <row r="297" spans="2:23" ht="18.75" customHeight="1">
      <c r="F297" s="39"/>
      <c r="G297" s="40"/>
    </row>
    <row r="298" spans="2:23" ht="18.75" customHeight="1">
      <c r="C298" s="119" t="s">
        <v>3751</v>
      </c>
      <c r="D298" s="120"/>
      <c r="E298" s="125" t="str">
        <f>エンティティ一覧!$O$2</f>
        <v>milscm_2023_007</v>
      </c>
      <c r="G298" s="41"/>
    </row>
    <row r="299" spans="2:23" ht="18.75" customHeight="1">
      <c r="C299" s="121"/>
      <c r="D299" s="122"/>
      <c r="E299" s="126"/>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3778</v>
      </c>
      <c r="D303" s="90"/>
      <c r="W303" s="35" t="str">
        <f>"-- "&amp;B303&amp;" : "&amp;C303</f>
        <v>-- SQL_ID : 31_C4-07</v>
      </c>
    </row>
    <row r="304" spans="2:23" ht="18.75" customHeight="1">
      <c r="B304" s="43" t="s">
        <v>158</v>
      </c>
      <c r="C304" s="127" t="str">
        <f>R307&amp;"登録"</f>
        <v>ベース_経過記録情報モジュール_プロブレムレコード登録</v>
      </c>
      <c r="D304" s="128"/>
      <c r="E304" s="128"/>
      <c r="F304" s="128"/>
      <c r="G304" s="128"/>
      <c r="H304" s="128"/>
      <c r="I304" s="128"/>
      <c r="J304" s="128"/>
      <c r="K304" s="128"/>
      <c r="L304" s="128"/>
      <c r="M304" s="128"/>
      <c r="N304" s="128"/>
      <c r="O304" s="128"/>
      <c r="P304" s="128"/>
      <c r="Q304" s="128"/>
      <c r="R304" s="128"/>
      <c r="S304" s="128"/>
      <c r="T304" s="128"/>
      <c r="U304" s="129"/>
      <c r="W304" s="35" t="str">
        <f>"-- "&amp;C304</f>
        <v>-- ベース_経過記録情報モジュール_プロブレムレコード登録</v>
      </c>
    </row>
    <row r="305" spans="2:23" ht="18.75" customHeight="1">
      <c r="B305" s="43" t="s">
        <v>159</v>
      </c>
      <c r="C305" s="116"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17"/>
      <c r="E305" s="117"/>
      <c r="F305" s="117"/>
      <c r="G305" s="117"/>
      <c r="H305" s="117"/>
      <c r="I305" s="117"/>
      <c r="J305" s="117"/>
      <c r="K305" s="117"/>
      <c r="L305" s="117"/>
      <c r="M305" s="117"/>
      <c r="N305" s="117"/>
      <c r="O305" s="117"/>
      <c r="P305" s="117"/>
      <c r="Q305" s="117"/>
      <c r="R305" s="117"/>
      <c r="S305" s="117"/>
      <c r="T305" s="117"/>
      <c r="U305" s="118"/>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38" t="s">
        <v>3779</v>
      </c>
      <c r="D307" s="139"/>
      <c r="E307" s="125" t="str">
        <f>エンティティ一覧!$O$2</f>
        <v>milscm_2023_007</v>
      </c>
      <c r="H307" s="36"/>
      <c r="I307" s="36"/>
      <c r="J307" s="36"/>
      <c r="K307" s="36"/>
      <c r="L307" s="36"/>
      <c r="M307" s="36"/>
      <c r="N307" s="36"/>
      <c r="O307" s="36"/>
      <c r="P307" s="36"/>
      <c r="Q307" s="36"/>
      <c r="R307" s="119" t="str">
        <f>"ベース"&amp;SUBSTITUTE(C307,"バックアップ","")</f>
        <v>ベース_経過記録情報モジュール_プロブレムレコード</v>
      </c>
      <c r="S307" s="120"/>
      <c r="T307" s="125" t="str">
        <f>エンティティ一覧!$O$2</f>
        <v>milscm_2023_007</v>
      </c>
    </row>
    <row r="308" spans="2:23" ht="18.75" customHeight="1">
      <c r="C308" s="140"/>
      <c r="D308" s="141"/>
      <c r="E308" s="126"/>
      <c r="F308" s="37"/>
      <c r="G308" s="38"/>
      <c r="H308" s="37"/>
      <c r="I308" s="37"/>
      <c r="J308" s="37"/>
      <c r="K308" s="37"/>
      <c r="L308" s="37"/>
      <c r="M308" s="37"/>
      <c r="N308" s="37"/>
      <c r="O308" s="37"/>
      <c r="P308" s="37"/>
      <c r="Q308" s="37"/>
      <c r="R308" s="121"/>
      <c r="S308" s="122"/>
      <c r="T308" s="126"/>
    </row>
    <row r="309" spans="2:23" ht="18.75" customHeight="1">
      <c r="F309" s="39"/>
      <c r="G309" s="40"/>
    </row>
    <row r="310" spans="2:23" ht="18.75" customHeight="1">
      <c r="C310" s="119" t="s">
        <v>3751</v>
      </c>
      <c r="D310" s="120"/>
      <c r="E310" s="125" t="str">
        <f>エンティティ一覧!$O$2</f>
        <v>milscm_2023_007</v>
      </c>
      <c r="G310" s="41"/>
    </row>
    <row r="311" spans="2:23" ht="18.75" customHeight="1">
      <c r="C311" s="121"/>
      <c r="D311" s="122"/>
      <c r="E311" s="126"/>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3780</v>
      </c>
      <c r="D315" s="90"/>
      <c r="W315" s="35" t="str">
        <f>"-- "&amp;B315&amp;" : "&amp;C315</f>
        <v>-- SQL_ID : 31_C4-08</v>
      </c>
    </row>
    <row r="316" spans="2:23" ht="18.75" customHeight="1">
      <c r="B316" s="43" t="s">
        <v>158</v>
      </c>
      <c r="C316" s="127" t="str">
        <f>R319&amp;"登録"</f>
        <v>ベース_経過記録情報モジュール_身体所見レコード登録</v>
      </c>
      <c r="D316" s="128"/>
      <c r="E316" s="128"/>
      <c r="F316" s="128"/>
      <c r="G316" s="128"/>
      <c r="H316" s="128"/>
      <c r="I316" s="128"/>
      <c r="J316" s="128"/>
      <c r="K316" s="128"/>
      <c r="L316" s="128"/>
      <c r="M316" s="128"/>
      <c r="N316" s="128"/>
      <c r="O316" s="128"/>
      <c r="P316" s="128"/>
      <c r="Q316" s="128"/>
      <c r="R316" s="128"/>
      <c r="S316" s="128"/>
      <c r="T316" s="128"/>
      <c r="U316" s="129"/>
      <c r="W316" s="35" t="str">
        <f>"-- "&amp;C316</f>
        <v>-- ベース_経過記録情報モジュール_身体所見レコード登録</v>
      </c>
    </row>
    <row r="317" spans="2:23" ht="18.75" customHeight="1">
      <c r="B317" s="43" t="s">
        <v>159</v>
      </c>
      <c r="C317" s="116"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17"/>
      <c r="E317" s="117"/>
      <c r="F317" s="117"/>
      <c r="G317" s="117"/>
      <c r="H317" s="117"/>
      <c r="I317" s="117"/>
      <c r="J317" s="117"/>
      <c r="K317" s="117"/>
      <c r="L317" s="117"/>
      <c r="M317" s="117"/>
      <c r="N317" s="117"/>
      <c r="O317" s="117"/>
      <c r="P317" s="117"/>
      <c r="Q317" s="117"/>
      <c r="R317" s="117"/>
      <c r="S317" s="117"/>
      <c r="T317" s="117"/>
      <c r="U317" s="118"/>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38" t="s">
        <v>3781</v>
      </c>
      <c r="D319" s="139"/>
      <c r="E319" s="125" t="str">
        <f>エンティティ一覧!$O$2</f>
        <v>milscm_2023_007</v>
      </c>
      <c r="H319" s="36"/>
      <c r="I319" s="36"/>
      <c r="J319" s="36"/>
      <c r="K319" s="36"/>
      <c r="L319" s="36"/>
      <c r="M319" s="36"/>
      <c r="N319" s="36"/>
      <c r="O319" s="36"/>
      <c r="P319" s="36"/>
      <c r="Q319" s="36"/>
      <c r="R319" s="119" t="str">
        <f>"ベース"&amp;SUBSTITUTE(C319,"バックアップ","")</f>
        <v>ベース_経過記録情報モジュール_身体所見レコード</v>
      </c>
      <c r="S319" s="120"/>
      <c r="T319" s="125" t="str">
        <f>エンティティ一覧!$O$2</f>
        <v>milscm_2023_007</v>
      </c>
    </row>
    <row r="320" spans="2:23" ht="18.75" customHeight="1">
      <c r="C320" s="140"/>
      <c r="D320" s="141"/>
      <c r="E320" s="126"/>
      <c r="F320" s="37"/>
      <c r="G320" s="38"/>
      <c r="H320" s="37"/>
      <c r="I320" s="37"/>
      <c r="J320" s="37"/>
      <c r="K320" s="37"/>
      <c r="L320" s="37"/>
      <c r="M320" s="37"/>
      <c r="N320" s="37"/>
      <c r="O320" s="37"/>
      <c r="P320" s="37"/>
      <c r="Q320" s="37"/>
      <c r="R320" s="121"/>
      <c r="S320" s="122"/>
      <c r="T320" s="126"/>
    </row>
    <row r="321" spans="2:23" ht="18.75" customHeight="1">
      <c r="F321" s="39"/>
      <c r="G321" s="40"/>
    </row>
    <row r="322" spans="2:23" ht="18.75" customHeight="1">
      <c r="C322" s="119" t="s">
        <v>3751</v>
      </c>
      <c r="D322" s="120"/>
      <c r="E322" s="125" t="str">
        <f>エンティティ一覧!$O$2</f>
        <v>milscm_2023_007</v>
      </c>
      <c r="G322" s="41"/>
    </row>
    <row r="323" spans="2:23" ht="18.75" customHeight="1">
      <c r="C323" s="121"/>
      <c r="D323" s="122"/>
      <c r="E323" s="126"/>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3782</v>
      </c>
      <c r="D327" s="90"/>
      <c r="W327" s="35" t="str">
        <f>"-- "&amp;B327&amp;" : "&amp;C327</f>
        <v>-- SQL_ID : 31_C4-15</v>
      </c>
    </row>
    <row r="328" spans="2:23" ht="18.75" customHeight="1">
      <c r="B328" s="43" t="s">
        <v>158</v>
      </c>
      <c r="C328" s="127" t="str">
        <f>R331&amp;"登録"</f>
        <v>ベース_経過記録情報モジュール_アセスメントレコード登録</v>
      </c>
      <c r="D328" s="128"/>
      <c r="E328" s="128"/>
      <c r="F328" s="128"/>
      <c r="G328" s="128"/>
      <c r="H328" s="128"/>
      <c r="I328" s="128"/>
      <c r="J328" s="128"/>
      <c r="K328" s="128"/>
      <c r="L328" s="128"/>
      <c r="M328" s="128"/>
      <c r="N328" s="128"/>
      <c r="O328" s="128"/>
      <c r="P328" s="128"/>
      <c r="Q328" s="128"/>
      <c r="R328" s="128"/>
      <c r="S328" s="128"/>
      <c r="T328" s="128"/>
      <c r="U328" s="129"/>
      <c r="W328" s="35" t="str">
        <f>"-- "&amp;C328</f>
        <v>-- ベース_経過記録情報モジュール_アセスメントレコード登録</v>
      </c>
    </row>
    <row r="329" spans="2:23" ht="18.75" customHeight="1">
      <c r="B329" s="43" t="s">
        <v>159</v>
      </c>
      <c r="C329" s="116"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17"/>
      <c r="E329" s="117"/>
      <c r="F329" s="117"/>
      <c r="G329" s="117"/>
      <c r="H329" s="117"/>
      <c r="I329" s="117"/>
      <c r="J329" s="117"/>
      <c r="K329" s="117"/>
      <c r="L329" s="117"/>
      <c r="M329" s="117"/>
      <c r="N329" s="117"/>
      <c r="O329" s="117"/>
      <c r="P329" s="117"/>
      <c r="Q329" s="117"/>
      <c r="R329" s="117"/>
      <c r="S329" s="117"/>
      <c r="T329" s="117"/>
      <c r="U329" s="118"/>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38" t="s">
        <v>3783</v>
      </c>
      <c r="D331" s="139"/>
      <c r="E331" s="125" t="str">
        <f>エンティティ一覧!$O$2</f>
        <v>milscm_2023_007</v>
      </c>
      <c r="H331" s="36"/>
      <c r="I331" s="36"/>
      <c r="J331" s="36"/>
      <c r="K331" s="36"/>
      <c r="L331" s="36"/>
      <c r="M331" s="36"/>
      <c r="N331" s="36"/>
      <c r="O331" s="36"/>
      <c r="P331" s="36"/>
      <c r="Q331" s="36"/>
      <c r="R331" s="119" t="str">
        <f>"ベース"&amp;SUBSTITUTE(C331,"バックアップ","")</f>
        <v>ベース_経過記録情報モジュール_アセスメントレコード</v>
      </c>
      <c r="S331" s="120"/>
      <c r="T331" s="125" t="str">
        <f>エンティティ一覧!$O$2</f>
        <v>milscm_2023_007</v>
      </c>
    </row>
    <row r="332" spans="2:23" ht="18.75" customHeight="1">
      <c r="C332" s="140"/>
      <c r="D332" s="141"/>
      <c r="E332" s="126"/>
      <c r="F332" s="37"/>
      <c r="G332" s="38"/>
      <c r="H332" s="37"/>
      <c r="I332" s="37"/>
      <c r="J332" s="37"/>
      <c r="K332" s="37"/>
      <c r="L332" s="37"/>
      <c r="M332" s="37"/>
      <c r="N332" s="37"/>
      <c r="O332" s="37"/>
      <c r="P332" s="37"/>
      <c r="Q332" s="37"/>
      <c r="R332" s="121"/>
      <c r="S332" s="122"/>
      <c r="T332" s="126"/>
    </row>
    <row r="333" spans="2:23" ht="18.75" customHeight="1">
      <c r="F333" s="39"/>
      <c r="G333" s="40"/>
    </row>
    <row r="334" spans="2:23" ht="18.75" customHeight="1">
      <c r="C334" s="119" t="s">
        <v>3751</v>
      </c>
      <c r="D334" s="120"/>
      <c r="E334" s="125" t="str">
        <f>エンティティ一覧!$O$2</f>
        <v>milscm_2023_007</v>
      </c>
      <c r="G334" s="41"/>
    </row>
    <row r="335" spans="2:23" ht="18.75" customHeight="1">
      <c r="C335" s="121"/>
      <c r="D335" s="122"/>
      <c r="E335" s="126"/>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3784</v>
      </c>
      <c r="D339" s="90"/>
      <c r="W339" s="35" t="str">
        <f>"-- "&amp;B339&amp;" : "&amp;C339</f>
        <v>-- SQL_ID : 31_C4-22</v>
      </c>
    </row>
    <row r="340" spans="2:23" ht="18.75" customHeight="1">
      <c r="B340" s="43" t="s">
        <v>158</v>
      </c>
      <c r="C340" s="127" t="str">
        <f>R343&amp;"登録"</f>
        <v>ベース_経過記録情報モジュール_外部参照レコード登録</v>
      </c>
      <c r="D340" s="128"/>
      <c r="E340" s="128"/>
      <c r="F340" s="128"/>
      <c r="G340" s="128"/>
      <c r="H340" s="128"/>
      <c r="I340" s="128"/>
      <c r="J340" s="128"/>
      <c r="K340" s="128"/>
      <c r="L340" s="128"/>
      <c r="M340" s="128"/>
      <c r="N340" s="128"/>
      <c r="O340" s="128"/>
      <c r="P340" s="128"/>
      <c r="Q340" s="128"/>
      <c r="R340" s="128"/>
      <c r="S340" s="128"/>
      <c r="T340" s="128"/>
      <c r="U340" s="129"/>
      <c r="W340" s="35" t="str">
        <f>"-- "&amp;C340</f>
        <v>-- ベース_経過記録情報モジュール_外部参照レコード登録</v>
      </c>
    </row>
    <row r="341" spans="2:23" ht="18.75" customHeight="1">
      <c r="B341" s="43" t="s">
        <v>159</v>
      </c>
      <c r="C341" s="116"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17"/>
      <c r="E341" s="117"/>
      <c r="F341" s="117"/>
      <c r="G341" s="117"/>
      <c r="H341" s="117"/>
      <c r="I341" s="117"/>
      <c r="J341" s="117"/>
      <c r="K341" s="117"/>
      <c r="L341" s="117"/>
      <c r="M341" s="117"/>
      <c r="N341" s="117"/>
      <c r="O341" s="117"/>
      <c r="P341" s="117"/>
      <c r="Q341" s="117"/>
      <c r="R341" s="117"/>
      <c r="S341" s="117"/>
      <c r="T341" s="117"/>
      <c r="U341" s="118"/>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38" t="s">
        <v>3785</v>
      </c>
      <c r="D343" s="139"/>
      <c r="E343" s="125" t="str">
        <f>エンティティ一覧!$O$2</f>
        <v>milscm_2023_007</v>
      </c>
      <c r="H343" s="36"/>
      <c r="I343" s="36"/>
      <c r="J343" s="36"/>
      <c r="K343" s="36"/>
      <c r="L343" s="36"/>
      <c r="M343" s="36"/>
      <c r="N343" s="36"/>
      <c r="O343" s="36"/>
      <c r="P343" s="36"/>
      <c r="Q343" s="36"/>
      <c r="R343" s="119" t="str">
        <f>"ベース"&amp;SUBSTITUTE(C343,"バックアップ","")</f>
        <v>ベース_経過記録情報モジュール_外部参照レコード</v>
      </c>
      <c r="S343" s="120"/>
      <c r="T343" s="125" t="str">
        <f>エンティティ一覧!$O$2</f>
        <v>milscm_2023_007</v>
      </c>
    </row>
    <row r="344" spans="2:23" ht="18.75" customHeight="1">
      <c r="C344" s="140"/>
      <c r="D344" s="141"/>
      <c r="E344" s="126"/>
      <c r="F344" s="37"/>
      <c r="G344" s="38"/>
      <c r="H344" s="37"/>
      <c r="I344" s="37"/>
      <c r="J344" s="37"/>
      <c r="K344" s="37"/>
      <c r="L344" s="37"/>
      <c r="M344" s="37"/>
      <c r="N344" s="37"/>
      <c r="O344" s="37"/>
      <c r="P344" s="37"/>
      <c r="Q344" s="37"/>
      <c r="R344" s="121"/>
      <c r="S344" s="122"/>
      <c r="T344" s="126"/>
    </row>
    <row r="345" spans="2:23" ht="18.75" customHeight="1">
      <c r="F345" s="39"/>
      <c r="G345" s="40"/>
    </row>
    <row r="346" spans="2:23" ht="18.75" customHeight="1">
      <c r="C346" s="119" t="s">
        <v>3751</v>
      </c>
      <c r="D346" s="120"/>
      <c r="E346" s="125" t="str">
        <f>エンティティ一覧!$O$2</f>
        <v>milscm_2023_007</v>
      </c>
      <c r="G346" s="41"/>
    </row>
    <row r="347" spans="2:23" ht="18.75" customHeight="1">
      <c r="C347" s="121"/>
      <c r="D347" s="122"/>
      <c r="E347" s="126"/>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3786</v>
      </c>
      <c r="D351" s="90"/>
      <c r="W351" s="35" t="str">
        <f>"-- "&amp;B351&amp;" : "&amp;C351</f>
        <v>-- SQL_ID : 31_C4-23</v>
      </c>
    </row>
    <row r="352" spans="2:23" ht="18.75" customHeight="1">
      <c r="B352" s="43" t="s">
        <v>158</v>
      </c>
      <c r="C352" s="127" t="str">
        <f>R355&amp;"登録"</f>
        <v>ベース_臨床サマリーモジュール_臨床サマリー情報レコード登録</v>
      </c>
      <c r="D352" s="128"/>
      <c r="E352" s="128"/>
      <c r="F352" s="128"/>
      <c r="G352" s="128"/>
      <c r="H352" s="128"/>
      <c r="I352" s="128"/>
      <c r="J352" s="128"/>
      <c r="K352" s="128"/>
      <c r="L352" s="128"/>
      <c r="M352" s="128"/>
      <c r="N352" s="128"/>
      <c r="O352" s="128"/>
      <c r="P352" s="128"/>
      <c r="Q352" s="128"/>
      <c r="R352" s="128"/>
      <c r="S352" s="128"/>
      <c r="T352" s="128"/>
      <c r="U352" s="129"/>
      <c r="W352" s="35" t="str">
        <f>"-- "&amp;C352</f>
        <v>-- ベース_臨床サマリーモジュール_臨床サマリー情報レコード登録</v>
      </c>
    </row>
    <row r="353" spans="2:23" ht="18.75" customHeight="1">
      <c r="B353" s="43" t="s">
        <v>159</v>
      </c>
      <c r="C353" s="116"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17"/>
      <c r="E353" s="117"/>
      <c r="F353" s="117"/>
      <c r="G353" s="117"/>
      <c r="H353" s="117"/>
      <c r="I353" s="117"/>
      <c r="J353" s="117"/>
      <c r="K353" s="117"/>
      <c r="L353" s="117"/>
      <c r="M353" s="117"/>
      <c r="N353" s="117"/>
      <c r="O353" s="117"/>
      <c r="P353" s="117"/>
      <c r="Q353" s="117"/>
      <c r="R353" s="117"/>
      <c r="S353" s="117"/>
      <c r="T353" s="117"/>
      <c r="U353" s="118"/>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34" t="s">
        <v>3787</v>
      </c>
      <c r="D355" s="135"/>
      <c r="E355" s="125" t="str">
        <f>エンティティ一覧!$O$2</f>
        <v>milscm_2023_007</v>
      </c>
      <c r="H355" s="36"/>
      <c r="I355" s="36"/>
      <c r="J355" s="36"/>
      <c r="K355" s="36"/>
      <c r="L355" s="36"/>
      <c r="M355" s="36"/>
      <c r="N355" s="36"/>
      <c r="O355" s="36"/>
      <c r="P355" s="36"/>
      <c r="Q355" s="36"/>
      <c r="R355" s="119" t="str">
        <f>"ベース"&amp;SUBSTITUTE(C355,"バックアップ","")</f>
        <v>ベース_臨床サマリーモジュール_臨床サマリー情報レコード</v>
      </c>
      <c r="S355" s="120"/>
      <c r="T355" s="125" t="str">
        <f>エンティティ一覧!$O$2</f>
        <v>milscm_2023_007</v>
      </c>
    </row>
    <row r="356" spans="2:23" ht="18.75" customHeight="1">
      <c r="C356" s="136"/>
      <c r="D356" s="137"/>
      <c r="E356" s="126"/>
      <c r="F356" s="37"/>
      <c r="G356" s="38"/>
      <c r="H356" s="37"/>
      <c r="I356" s="37"/>
      <c r="J356" s="37"/>
      <c r="K356" s="37"/>
      <c r="L356" s="37"/>
      <c r="M356" s="37"/>
      <c r="N356" s="37"/>
      <c r="O356" s="37"/>
      <c r="P356" s="37"/>
      <c r="Q356" s="37"/>
      <c r="R356" s="121"/>
      <c r="S356" s="122"/>
      <c r="T356" s="126"/>
    </row>
    <row r="357" spans="2:23" ht="18.75" customHeight="1">
      <c r="F357" s="39"/>
      <c r="G357" s="40"/>
    </row>
    <row r="358" spans="2:23" ht="18.75" customHeight="1">
      <c r="C358" s="119" t="s">
        <v>3751</v>
      </c>
      <c r="D358" s="120"/>
      <c r="E358" s="125" t="str">
        <f>エンティティ一覧!$O$2</f>
        <v>milscm_2023_007</v>
      </c>
      <c r="G358" s="41"/>
    </row>
    <row r="359" spans="2:23" ht="18.75" customHeight="1">
      <c r="C359" s="121"/>
      <c r="D359" s="122"/>
      <c r="E359" s="126"/>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3788</v>
      </c>
      <c r="D363" s="91"/>
      <c r="W363" s="35" t="str">
        <f>"-- "&amp;B363&amp;" : "&amp;C363</f>
        <v>-- SQL_ID : 31_C4-24</v>
      </c>
    </row>
    <row r="364" spans="2:23" ht="18.75" customHeight="1">
      <c r="B364" s="43" t="s">
        <v>158</v>
      </c>
      <c r="C364" s="127" t="str">
        <f>R367&amp;"登録"</f>
        <v>ベース_臨床サマリーモジュール_外来受診レコード登録</v>
      </c>
      <c r="D364" s="128"/>
      <c r="E364" s="128"/>
      <c r="F364" s="128"/>
      <c r="G364" s="128"/>
      <c r="H364" s="128"/>
      <c r="I364" s="128"/>
      <c r="J364" s="128"/>
      <c r="K364" s="128"/>
      <c r="L364" s="128"/>
      <c r="M364" s="128"/>
      <c r="N364" s="128"/>
      <c r="O364" s="128"/>
      <c r="P364" s="128"/>
      <c r="Q364" s="128"/>
      <c r="R364" s="128"/>
      <c r="S364" s="128"/>
      <c r="T364" s="128"/>
      <c r="U364" s="129"/>
      <c r="W364" s="35" t="str">
        <f>"-- "&amp;C364</f>
        <v>-- ベース_臨床サマリーモジュール_外来受診レコード登録</v>
      </c>
    </row>
    <row r="365" spans="2:23" ht="18.75" customHeight="1">
      <c r="B365" s="43" t="s">
        <v>159</v>
      </c>
      <c r="C365" s="116"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17"/>
      <c r="E365" s="117"/>
      <c r="F365" s="117"/>
      <c r="G365" s="117"/>
      <c r="H365" s="117"/>
      <c r="I365" s="117"/>
      <c r="J365" s="117"/>
      <c r="K365" s="117"/>
      <c r="L365" s="117"/>
      <c r="M365" s="117"/>
      <c r="N365" s="117"/>
      <c r="O365" s="117"/>
      <c r="P365" s="117"/>
      <c r="Q365" s="117"/>
      <c r="R365" s="117"/>
      <c r="S365" s="117"/>
      <c r="T365" s="117"/>
      <c r="U365" s="118"/>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34" t="s">
        <v>1479</v>
      </c>
      <c r="D367" s="135"/>
      <c r="E367" s="125" t="str">
        <f>エンティティ一覧!$O$2</f>
        <v>milscm_2023_007</v>
      </c>
      <c r="H367" s="36"/>
      <c r="I367" s="36"/>
      <c r="J367" s="36"/>
      <c r="K367" s="36"/>
      <c r="L367" s="36"/>
      <c r="M367" s="36"/>
      <c r="N367" s="36"/>
      <c r="O367" s="36"/>
      <c r="P367" s="36"/>
      <c r="Q367" s="36"/>
      <c r="R367" s="119" t="str">
        <f>"ベース"&amp;SUBSTITUTE(C367,"バックアップ","")</f>
        <v>ベース_臨床サマリーモジュール_外来受診レコード</v>
      </c>
      <c r="S367" s="120"/>
      <c r="T367" s="125" t="str">
        <f>エンティティ一覧!$O$2</f>
        <v>milscm_2023_007</v>
      </c>
    </row>
    <row r="368" spans="2:23" ht="18.75" customHeight="1">
      <c r="C368" s="136"/>
      <c r="D368" s="137"/>
      <c r="E368" s="126"/>
      <c r="F368" s="37"/>
      <c r="G368" s="38"/>
      <c r="H368" s="37"/>
      <c r="I368" s="37"/>
      <c r="J368" s="37"/>
      <c r="K368" s="37"/>
      <c r="L368" s="37"/>
      <c r="M368" s="37"/>
      <c r="N368" s="37"/>
      <c r="O368" s="37"/>
      <c r="P368" s="37"/>
      <c r="Q368" s="37"/>
      <c r="R368" s="121"/>
      <c r="S368" s="122"/>
      <c r="T368" s="126"/>
    </row>
    <row r="369" spans="2:23" ht="18.75" customHeight="1">
      <c r="F369" s="39"/>
      <c r="G369" s="40"/>
    </row>
    <row r="370" spans="2:23" ht="18.75" customHeight="1">
      <c r="C370" s="119" t="s">
        <v>3751</v>
      </c>
      <c r="D370" s="120"/>
      <c r="E370" s="125" t="str">
        <f>エンティティ一覧!$O$2</f>
        <v>milscm_2023_007</v>
      </c>
      <c r="G370" s="41"/>
    </row>
    <row r="371" spans="2:23" ht="18.75" customHeight="1">
      <c r="C371" s="121"/>
      <c r="D371" s="122"/>
      <c r="E371" s="126"/>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3789</v>
      </c>
      <c r="D375" s="91"/>
      <c r="W375" s="35" t="str">
        <f>"-- "&amp;B375&amp;" : "&amp;C375</f>
        <v>-- SQL_ID : 31_C4-25</v>
      </c>
    </row>
    <row r="376" spans="2:23" ht="18.75" customHeight="1">
      <c r="B376" s="43" t="s">
        <v>158</v>
      </c>
      <c r="C376" s="127" t="str">
        <f>R379&amp;"登録"</f>
        <v>ベース_臨床サマリーモジュール_入院レコード登録</v>
      </c>
      <c r="D376" s="128"/>
      <c r="E376" s="128"/>
      <c r="F376" s="128"/>
      <c r="G376" s="128"/>
      <c r="H376" s="128"/>
      <c r="I376" s="128"/>
      <c r="J376" s="128"/>
      <c r="K376" s="128"/>
      <c r="L376" s="128"/>
      <c r="M376" s="128"/>
      <c r="N376" s="128"/>
      <c r="O376" s="128"/>
      <c r="P376" s="128"/>
      <c r="Q376" s="128"/>
      <c r="R376" s="128"/>
      <c r="S376" s="128"/>
      <c r="T376" s="128"/>
      <c r="U376" s="129"/>
      <c r="W376" s="35" t="str">
        <f>"-- "&amp;C376</f>
        <v>-- ベース_臨床サマリーモジュール_入院レコード登録</v>
      </c>
    </row>
    <row r="377" spans="2:23" ht="18.75" customHeight="1">
      <c r="B377" s="43" t="s">
        <v>159</v>
      </c>
      <c r="C377" s="116"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17"/>
      <c r="E377" s="117"/>
      <c r="F377" s="117"/>
      <c r="G377" s="117"/>
      <c r="H377" s="117"/>
      <c r="I377" s="117"/>
      <c r="J377" s="117"/>
      <c r="K377" s="117"/>
      <c r="L377" s="117"/>
      <c r="M377" s="117"/>
      <c r="N377" s="117"/>
      <c r="O377" s="117"/>
      <c r="P377" s="117"/>
      <c r="Q377" s="117"/>
      <c r="R377" s="117"/>
      <c r="S377" s="117"/>
      <c r="T377" s="117"/>
      <c r="U377" s="118"/>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34" t="s">
        <v>1496</v>
      </c>
      <c r="D379" s="135"/>
      <c r="E379" s="125" t="str">
        <f>エンティティ一覧!$O$2</f>
        <v>milscm_2023_007</v>
      </c>
      <c r="H379" s="36"/>
      <c r="I379" s="36"/>
      <c r="J379" s="36"/>
      <c r="K379" s="36"/>
      <c r="L379" s="36"/>
      <c r="M379" s="36"/>
      <c r="N379" s="36"/>
      <c r="O379" s="36"/>
      <c r="P379" s="36"/>
      <c r="Q379" s="36"/>
      <c r="R379" s="119" t="str">
        <f>"ベース"&amp;SUBSTITUTE(C379,"バックアップ","")</f>
        <v>ベース_臨床サマリーモジュール_入院レコード</v>
      </c>
      <c r="S379" s="120"/>
      <c r="T379" s="125" t="str">
        <f>エンティティ一覧!$O$2</f>
        <v>milscm_2023_007</v>
      </c>
    </row>
    <row r="380" spans="2:23" ht="18.75" customHeight="1">
      <c r="C380" s="136"/>
      <c r="D380" s="137"/>
      <c r="E380" s="126"/>
      <c r="F380" s="37"/>
      <c r="G380" s="38"/>
      <c r="H380" s="37"/>
      <c r="I380" s="37"/>
      <c r="J380" s="37"/>
      <c r="K380" s="37"/>
      <c r="L380" s="37"/>
      <c r="M380" s="37"/>
      <c r="N380" s="37"/>
      <c r="O380" s="37"/>
      <c r="P380" s="37"/>
      <c r="Q380" s="37"/>
      <c r="R380" s="121"/>
      <c r="S380" s="122"/>
      <c r="T380" s="126"/>
    </row>
    <row r="381" spans="2:23" ht="18.75" customHeight="1">
      <c r="F381" s="39"/>
      <c r="G381" s="40"/>
    </row>
    <row r="382" spans="2:23" ht="18.75" customHeight="1">
      <c r="C382" s="119" t="s">
        <v>3751</v>
      </c>
      <c r="D382" s="120"/>
      <c r="E382" s="125" t="str">
        <f>エンティティ一覧!$O$2</f>
        <v>milscm_2023_007</v>
      </c>
      <c r="G382" s="41"/>
    </row>
    <row r="383" spans="2:23" ht="18.75" customHeight="1">
      <c r="C383" s="121"/>
      <c r="D383" s="122"/>
      <c r="E383" s="126"/>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3790</v>
      </c>
      <c r="D387" s="91"/>
      <c r="W387" s="35" t="str">
        <f>"-- "&amp;B387&amp;" : "&amp;C387</f>
        <v>-- SQL_ID : 31_C4-29</v>
      </c>
    </row>
    <row r="388" spans="2:23" ht="18.75" customHeight="1">
      <c r="B388" s="43" t="s">
        <v>158</v>
      </c>
      <c r="C388" s="127" t="str">
        <f>R391&amp;"登録"</f>
        <v>ベース_臨床サマリーモジュール_経過記録レコード登録</v>
      </c>
      <c r="D388" s="128"/>
      <c r="E388" s="128"/>
      <c r="F388" s="128"/>
      <c r="G388" s="128"/>
      <c r="H388" s="128"/>
      <c r="I388" s="128"/>
      <c r="J388" s="128"/>
      <c r="K388" s="128"/>
      <c r="L388" s="128"/>
      <c r="M388" s="128"/>
      <c r="N388" s="128"/>
      <c r="O388" s="128"/>
      <c r="P388" s="128"/>
      <c r="Q388" s="128"/>
      <c r="R388" s="128"/>
      <c r="S388" s="128"/>
      <c r="T388" s="128"/>
      <c r="U388" s="129"/>
      <c r="W388" s="35" t="str">
        <f>"-- "&amp;C388</f>
        <v>-- ベース_臨床サマリーモジュール_経過記録レコード登録</v>
      </c>
    </row>
    <row r="389" spans="2:23" ht="18.75" customHeight="1">
      <c r="B389" s="43" t="s">
        <v>159</v>
      </c>
      <c r="C389" s="116"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17"/>
      <c r="E389" s="117"/>
      <c r="F389" s="117"/>
      <c r="G389" s="117"/>
      <c r="H389" s="117"/>
      <c r="I389" s="117"/>
      <c r="J389" s="117"/>
      <c r="K389" s="117"/>
      <c r="L389" s="117"/>
      <c r="M389" s="117"/>
      <c r="N389" s="117"/>
      <c r="O389" s="117"/>
      <c r="P389" s="117"/>
      <c r="Q389" s="117"/>
      <c r="R389" s="117"/>
      <c r="S389" s="117"/>
      <c r="T389" s="117"/>
      <c r="U389" s="118"/>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34" t="s">
        <v>1522</v>
      </c>
      <c r="D391" s="135"/>
      <c r="E391" s="125" t="str">
        <f>エンティティ一覧!$O$2</f>
        <v>milscm_2023_007</v>
      </c>
      <c r="H391" s="36"/>
      <c r="I391" s="36"/>
      <c r="J391" s="36"/>
      <c r="K391" s="36"/>
      <c r="L391" s="36"/>
      <c r="M391" s="36"/>
      <c r="N391" s="36"/>
      <c r="O391" s="36"/>
      <c r="P391" s="36"/>
      <c r="Q391" s="36"/>
      <c r="R391" s="119" t="str">
        <f>"ベース"&amp;SUBSTITUTE(C391,"バックアップ","")</f>
        <v>ベース_臨床サマリーモジュール_経過記録レコード</v>
      </c>
      <c r="S391" s="120"/>
      <c r="T391" s="125" t="str">
        <f>エンティティ一覧!$O$2</f>
        <v>milscm_2023_007</v>
      </c>
    </row>
    <row r="392" spans="2:23" ht="18.75" customHeight="1">
      <c r="C392" s="136"/>
      <c r="D392" s="137"/>
      <c r="E392" s="126"/>
      <c r="F392" s="37"/>
      <c r="G392" s="38"/>
      <c r="H392" s="37"/>
      <c r="I392" s="37"/>
      <c r="J392" s="37"/>
      <c r="K392" s="37"/>
      <c r="L392" s="37"/>
      <c r="M392" s="37"/>
      <c r="N392" s="37"/>
      <c r="O392" s="37"/>
      <c r="P392" s="37"/>
      <c r="Q392" s="37"/>
      <c r="R392" s="121"/>
      <c r="S392" s="122"/>
      <c r="T392" s="126"/>
    </row>
    <row r="393" spans="2:23" ht="18.75" customHeight="1">
      <c r="F393" s="39"/>
      <c r="G393" s="40"/>
    </row>
    <row r="394" spans="2:23" ht="18.75" customHeight="1">
      <c r="C394" s="119" t="s">
        <v>3751</v>
      </c>
      <c r="D394" s="120"/>
      <c r="E394" s="125" t="str">
        <f>エンティティ一覧!$O$2</f>
        <v>milscm_2023_007</v>
      </c>
      <c r="G394" s="41"/>
    </row>
    <row r="395" spans="2:23" ht="18.75" customHeight="1">
      <c r="C395" s="121"/>
      <c r="D395" s="122"/>
      <c r="E395" s="126"/>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3791</v>
      </c>
      <c r="D399" s="91"/>
      <c r="W399" s="35" t="str">
        <f>"-- "&amp;B399&amp;" : "&amp;C399</f>
        <v>-- SQL_ID : 31_C4-30</v>
      </c>
    </row>
    <row r="400" spans="2:23" ht="18.75" customHeight="1">
      <c r="B400" s="43" t="s">
        <v>158</v>
      </c>
      <c r="C400" s="127" t="str">
        <f>R403&amp;"登録"</f>
        <v>ベース_臨床サマリーモジュール_検査結果レコード登録</v>
      </c>
      <c r="D400" s="128"/>
      <c r="E400" s="128"/>
      <c r="F400" s="128"/>
      <c r="G400" s="128"/>
      <c r="H400" s="128"/>
      <c r="I400" s="128"/>
      <c r="J400" s="128"/>
      <c r="K400" s="128"/>
      <c r="L400" s="128"/>
      <c r="M400" s="128"/>
      <c r="N400" s="128"/>
      <c r="O400" s="128"/>
      <c r="P400" s="128"/>
      <c r="Q400" s="128"/>
      <c r="R400" s="128"/>
      <c r="S400" s="128"/>
      <c r="T400" s="128"/>
      <c r="U400" s="129"/>
      <c r="W400" s="35" t="str">
        <f>"-- "&amp;C400</f>
        <v>-- ベース_臨床サマリーモジュール_検査結果レコード登録</v>
      </c>
    </row>
    <row r="401" spans="2:23" ht="18.75" customHeight="1">
      <c r="B401" s="43" t="s">
        <v>159</v>
      </c>
      <c r="C401" s="116"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17"/>
      <c r="E401" s="117"/>
      <c r="F401" s="117"/>
      <c r="G401" s="117"/>
      <c r="H401" s="117"/>
      <c r="I401" s="117"/>
      <c r="J401" s="117"/>
      <c r="K401" s="117"/>
      <c r="L401" s="117"/>
      <c r="M401" s="117"/>
      <c r="N401" s="117"/>
      <c r="O401" s="117"/>
      <c r="P401" s="117"/>
      <c r="Q401" s="117"/>
      <c r="R401" s="117"/>
      <c r="S401" s="117"/>
      <c r="T401" s="117"/>
      <c r="U401" s="118"/>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34" t="s">
        <v>1537</v>
      </c>
      <c r="D403" s="135"/>
      <c r="E403" s="125" t="str">
        <f>エンティティ一覧!$O$2</f>
        <v>milscm_2023_007</v>
      </c>
      <c r="H403" s="36"/>
      <c r="I403" s="36"/>
      <c r="J403" s="36"/>
      <c r="K403" s="36"/>
      <c r="L403" s="36"/>
      <c r="M403" s="36"/>
      <c r="N403" s="36"/>
      <c r="O403" s="36"/>
      <c r="P403" s="36"/>
      <c r="Q403" s="36"/>
      <c r="R403" s="119" t="str">
        <f>"ベース"&amp;SUBSTITUTE(C403,"バックアップ","")</f>
        <v>ベース_臨床サマリーモジュール_検査結果レコード</v>
      </c>
      <c r="S403" s="120"/>
      <c r="T403" s="125" t="str">
        <f>エンティティ一覧!$O$2</f>
        <v>milscm_2023_007</v>
      </c>
    </row>
    <row r="404" spans="2:23" ht="18.75" customHeight="1">
      <c r="C404" s="136"/>
      <c r="D404" s="137"/>
      <c r="E404" s="126"/>
      <c r="F404" s="37"/>
      <c r="G404" s="38"/>
      <c r="H404" s="37"/>
      <c r="I404" s="37"/>
      <c r="J404" s="37"/>
      <c r="K404" s="37"/>
      <c r="L404" s="37"/>
      <c r="M404" s="37"/>
      <c r="N404" s="37"/>
      <c r="O404" s="37"/>
      <c r="P404" s="37"/>
      <c r="Q404" s="37"/>
      <c r="R404" s="121"/>
      <c r="S404" s="122"/>
      <c r="T404" s="126"/>
    </row>
    <row r="405" spans="2:23" ht="18.75" customHeight="1">
      <c r="F405" s="39"/>
      <c r="G405" s="40"/>
    </row>
    <row r="406" spans="2:23" ht="18.75" customHeight="1">
      <c r="C406" s="119" t="s">
        <v>3751</v>
      </c>
      <c r="D406" s="120"/>
      <c r="E406" s="125" t="str">
        <f>エンティティ一覧!$O$2</f>
        <v>milscm_2023_007</v>
      </c>
      <c r="G406" s="41"/>
    </row>
    <row r="407" spans="2:23" ht="18.75" customHeight="1">
      <c r="C407" s="121"/>
      <c r="D407" s="122"/>
      <c r="E407" s="126"/>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3792</v>
      </c>
      <c r="D411" s="91"/>
      <c r="W411" s="35" t="str">
        <f>"-- "&amp;B411&amp;" : "&amp;C411</f>
        <v>-- SQL_ID : 31_C4-31</v>
      </c>
    </row>
    <row r="412" spans="2:23" ht="18.75" customHeight="1">
      <c r="B412" s="43" t="s">
        <v>158</v>
      </c>
      <c r="C412" s="127" t="str">
        <f>R415&amp;"登録"</f>
        <v>ベース_検歴情報モジュール_検歴情報登録</v>
      </c>
      <c r="D412" s="128"/>
      <c r="E412" s="128"/>
      <c r="F412" s="128"/>
      <c r="G412" s="128"/>
      <c r="H412" s="128"/>
      <c r="I412" s="128"/>
      <c r="J412" s="128"/>
      <c r="K412" s="128"/>
      <c r="L412" s="128"/>
      <c r="M412" s="128"/>
      <c r="N412" s="128"/>
      <c r="O412" s="128"/>
      <c r="P412" s="128"/>
      <c r="Q412" s="128"/>
      <c r="R412" s="128"/>
      <c r="S412" s="128"/>
      <c r="T412" s="128"/>
      <c r="U412" s="129"/>
      <c r="W412" s="35" t="str">
        <f>"-- "&amp;C412</f>
        <v>-- ベース_検歴情報モジュール_検歴情報登録</v>
      </c>
    </row>
    <row r="413" spans="2:23" ht="18.75" customHeight="1">
      <c r="B413" s="43" t="s">
        <v>159</v>
      </c>
      <c r="C413" s="116"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17"/>
      <c r="E413" s="117"/>
      <c r="F413" s="117"/>
      <c r="G413" s="117"/>
      <c r="H413" s="117"/>
      <c r="I413" s="117"/>
      <c r="J413" s="117"/>
      <c r="K413" s="117"/>
      <c r="L413" s="117"/>
      <c r="M413" s="117"/>
      <c r="N413" s="117"/>
      <c r="O413" s="117"/>
      <c r="P413" s="117"/>
      <c r="Q413" s="117"/>
      <c r="R413" s="117"/>
      <c r="S413" s="117"/>
      <c r="T413" s="117"/>
      <c r="U413" s="118"/>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19" t="s">
        <v>3857</v>
      </c>
      <c r="D415" s="120"/>
      <c r="E415" s="125" t="str">
        <f>エンティティ一覧!$O$2</f>
        <v>milscm_2023_007</v>
      </c>
      <c r="H415" s="36"/>
      <c r="I415" s="36"/>
      <c r="J415" s="36"/>
      <c r="K415" s="36"/>
      <c r="L415" s="36"/>
      <c r="M415" s="36"/>
      <c r="N415" s="36"/>
      <c r="O415" s="36"/>
      <c r="P415" s="36"/>
      <c r="Q415" s="36"/>
      <c r="R415" s="119" t="str">
        <f>"ベース"&amp;SUBSTITUTE(C415,"バックアップ","")</f>
        <v>ベース_検歴情報モジュール_検歴情報</v>
      </c>
      <c r="S415" s="120"/>
      <c r="T415" s="125" t="str">
        <f>エンティティ一覧!$O$2</f>
        <v>milscm_2023_007</v>
      </c>
    </row>
    <row r="416" spans="2:23" ht="18.75" customHeight="1">
      <c r="C416" s="121"/>
      <c r="D416" s="122"/>
      <c r="E416" s="126"/>
      <c r="F416" s="37"/>
      <c r="G416" s="38"/>
      <c r="H416" s="37"/>
      <c r="I416" s="37"/>
      <c r="J416" s="37"/>
      <c r="K416" s="37"/>
      <c r="L416" s="37"/>
      <c r="M416" s="37"/>
      <c r="N416" s="37"/>
      <c r="O416" s="37"/>
      <c r="P416" s="37"/>
      <c r="Q416" s="37"/>
      <c r="R416" s="121"/>
      <c r="S416" s="122"/>
      <c r="T416" s="126"/>
    </row>
    <row r="417" spans="2:23" ht="18.75" customHeight="1">
      <c r="F417" s="39"/>
      <c r="G417" s="40"/>
    </row>
    <row r="418" spans="2:23" ht="18.75" customHeight="1">
      <c r="C418" s="119" t="s">
        <v>3751</v>
      </c>
      <c r="D418" s="120"/>
      <c r="E418" s="125" t="str">
        <f>エンティティ一覧!$O$2</f>
        <v>milscm_2023_007</v>
      </c>
      <c r="G418" s="41"/>
    </row>
    <row r="419" spans="2:23" ht="18.75" customHeight="1">
      <c r="C419" s="121"/>
      <c r="D419" s="122"/>
      <c r="E419" s="126"/>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3793</v>
      </c>
      <c r="D423" s="91"/>
      <c r="W423" s="35" t="str">
        <f>"-- "&amp;B423&amp;" : "&amp;C423</f>
        <v>-- SQL_ID : 31_C4-33</v>
      </c>
    </row>
    <row r="424" spans="2:23" ht="18.75" customHeight="1">
      <c r="B424" s="43" t="s">
        <v>158</v>
      </c>
      <c r="C424" s="127" t="str">
        <f>R427&amp;"登録"</f>
        <v>ベース_検歴情報モジュール_検歴検体材料登録</v>
      </c>
      <c r="D424" s="128"/>
      <c r="E424" s="128"/>
      <c r="F424" s="128"/>
      <c r="G424" s="128"/>
      <c r="H424" s="128"/>
      <c r="I424" s="128"/>
      <c r="J424" s="128"/>
      <c r="K424" s="128"/>
      <c r="L424" s="128"/>
      <c r="M424" s="128"/>
      <c r="N424" s="128"/>
      <c r="O424" s="128"/>
      <c r="P424" s="128"/>
      <c r="Q424" s="128"/>
      <c r="R424" s="128"/>
      <c r="S424" s="128"/>
      <c r="T424" s="128"/>
      <c r="U424" s="129"/>
      <c r="W424" s="35" t="str">
        <f>"-- "&amp;C424</f>
        <v>-- ベース_検歴情報モジュール_検歴検体材料登録</v>
      </c>
    </row>
    <row r="425" spans="2:23" ht="18.75" customHeight="1">
      <c r="B425" s="43" t="s">
        <v>159</v>
      </c>
      <c r="C425" s="116"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17"/>
      <c r="E425" s="117"/>
      <c r="F425" s="117"/>
      <c r="G425" s="117"/>
      <c r="H425" s="117"/>
      <c r="I425" s="117"/>
      <c r="J425" s="117"/>
      <c r="K425" s="117"/>
      <c r="L425" s="117"/>
      <c r="M425" s="117"/>
      <c r="N425" s="117"/>
      <c r="O425" s="117"/>
      <c r="P425" s="117"/>
      <c r="Q425" s="117"/>
      <c r="R425" s="117"/>
      <c r="S425" s="117"/>
      <c r="T425" s="117"/>
      <c r="U425" s="118"/>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19" t="s">
        <v>3856</v>
      </c>
      <c r="D427" s="120"/>
      <c r="E427" s="125" t="str">
        <f>エンティティ一覧!$O$2</f>
        <v>milscm_2023_007</v>
      </c>
      <c r="H427" s="36"/>
      <c r="I427" s="36"/>
      <c r="J427" s="36"/>
      <c r="K427" s="36"/>
      <c r="L427" s="36"/>
      <c r="M427" s="36"/>
      <c r="N427" s="36"/>
      <c r="O427" s="36"/>
      <c r="P427" s="36"/>
      <c r="Q427" s="36"/>
      <c r="R427" s="119" t="str">
        <f>"ベース"&amp;SUBSTITUTE(C427,"バックアップ","")</f>
        <v>ベース_検歴情報モジュール_検歴検体材料</v>
      </c>
      <c r="S427" s="120"/>
      <c r="T427" s="125" t="str">
        <f>エンティティ一覧!$O$2</f>
        <v>milscm_2023_007</v>
      </c>
    </row>
    <row r="428" spans="2:23" ht="18.75" customHeight="1">
      <c r="C428" s="121"/>
      <c r="D428" s="122"/>
      <c r="E428" s="126"/>
      <c r="F428" s="37"/>
      <c r="G428" s="38"/>
      <c r="H428" s="37"/>
      <c r="I428" s="37"/>
      <c r="J428" s="37"/>
      <c r="K428" s="37"/>
      <c r="L428" s="37"/>
      <c r="M428" s="37"/>
      <c r="N428" s="37"/>
      <c r="O428" s="37"/>
      <c r="P428" s="37"/>
      <c r="Q428" s="37"/>
      <c r="R428" s="121"/>
      <c r="S428" s="122"/>
      <c r="T428" s="126"/>
    </row>
    <row r="429" spans="2:23" ht="18.75" customHeight="1">
      <c r="F429" s="39"/>
      <c r="G429" s="40"/>
    </row>
    <row r="430" spans="2:23" ht="18.75" customHeight="1">
      <c r="C430" s="119" t="s">
        <v>3751</v>
      </c>
      <c r="D430" s="120"/>
      <c r="E430" s="125" t="str">
        <f>エンティティ一覧!$O$2</f>
        <v>milscm_2023_007</v>
      </c>
      <c r="G430" s="41"/>
    </row>
    <row r="431" spans="2:23" ht="18.75" customHeight="1">
      <c r="C431" s="121"/>
      <c r="D431" s="122"/>
      <c r="E431" s="126"/>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3794</v>
      </c>
      <c r="D435" s="91"/>
      <c r="W435" s="35" t="str">
        <f>"-- "&amp;B435&amp;" : "&amp;C435</f>
        <v>-- SQL_ID : 31_C4-35</v>
      </c>
    </row>
    <row r="436" spans="2:23" ht="18.75" customHeight="1">
      <c r="B436" s="43" t="s">
        <v>158</v>
      </c>
      <c r="C436" s="127" t="str">
        <f>R439&amp;"登録"</f>
        <v>ベース_検歴情報モジュール_検歴項目情報登録</v>
      </c>
      <c r="D436" s="128"/>
      <c r="E436" s="128"/>
      <c r="F436" s="128"/>
      <c r="G436" s="128"/>
      <c r="H436" s="128"/>
      <c r="I436" s="128"/>
      <c r="J436" s="128"/>
      <c r="K436" s="128"/>
      <c r="L436" s="128"/>
      <c r="M436" s="128"/>
      <c r="N436" s="128"/>
      <c r="O436" s="128"/>
      <c r="P436" s="128"/>
      <c r="Q436" s="128"/>
      <c r="R436" s="128"/>
      <c r="S436" s="128"/>
      <c r="T436" s="128"/>
      <c r="U436" s="129"/>
      <c r="W436" s="35" t="str">
        <f>"-- "&amp;C436</f>
        <v>-- ベース_検歴情報モジュール_検歴項目情報登録</v>
      </c>
    </row>
    <row r="437" spans="2:23" ht="18.75" customHeight="1">
      <c r="B437" s="43" t="s">
        <v>159</v>
      </c>
      <c r="C437" s="116"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17"/>
      <c r="E437" s="117"/>
      <c r="F437" s="117"/>
      <c r="G437" s="117"/>
      <c r="H437" s="117"/>
      <c r="I437" s="117"/>
      <c r="J437" s="117"/>
      <c r="K437" s="117"/>
      <c r="L437" s="117"/>
      <c r="M437" s="117"/>
      <c r="N437" s="117"/>
      <c r="O437" s="117"/>
      <c r="P437" s="117"/>
      <c r="Q437" s="117"/>
      <c r="R437" s="117"/>
      <c r="S437" s="117"/>
      <c r="T437" s="117"/>
      <c r="U437" s="118"/>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19" t="s">
        <v>3855</v>
      </c>
      <c r="D439" s="120"/>
      <c r="E439" s="125" t="str">
        <f>エンティティ一覧!$O$2</f>
        <v>milscm_2023_007</v>
      </c>
      <c r="H439" s="36"/>
      <c r="I439" s="36"/>
      <c r="J439" s="36"/>
      <c r="K439" s="36"/>
      <c r="L439" s="36"/>
      <c r="M439" s="36"/>
      <c r="N439" s="36"/>
      <c r="O439" s="36"/>
      <c r="P439" s="36"/>
      <c r="Q439" s="36"/>
      <c r="R439" s="119" t="str">
        <f>"ベース"&amp;SUBSTITUTE(C439,"バックアップ","")</f>
        <v>ベース_検歴情報モジュール_検歴項目情報</v>
      </c>
      <c r="S439" s="120"/>
      <c r="T439" s="125" t="str">
        <f>エンティティ一覧!$O$2</f>
        <v>milscm_2023_007</v>
      </c>
    </row>
    <row r="440" spans="2:23" ht="18.75" customHeight="1">
      <c r="C440" s="121"/>
      <c r="D440" s="122"/>
      <c r="E440" s="126"/>
      <c r="F440" s="37"/>
      <c r="G440" s="38"/>
      <c r="H440" s="37"/>
      <c r="I440" s="37"/>
      <c r="J440" s="37"/>
      <c r="K440" s="37"/>
      <c r="L440" s="37"/>
      <c r="M440" s="37"/>
      <c r="N440" s="37"/>
      <c r="O440" s="37"/>
      <c r="P440" s="37"/>
      <c r="Q440" s="37"/>
      <c r="R440" s="121"/>
      <c r="S440" s="122"/>
      <c r="T440" s="126"/>
    </row>
    <row r="441" spans="2:23" ht="18.75" customHeight="1">
      <c r="F441" s="39"/>
      <c r="G441" s="40"/>
    </row>
    <row r="442" spans="2:23" ht="18.75" customHeight="1">
      <c r="C442" s="119" t="s">
        <v>3751</v>
      </c>
      <c r="D442" s="120"/>
      <c r="E442" s="125" t="str">
        <f>エンティティ一覧!$O$2</f>
        <v>milscm_2023_007</v>
      </c>
      <c r="G442" s="41"/>
    </row>
    <row r="443" spans="2:23" ht="18.75" customHeight="1">
      <c r="C443" s="121"/>
      <c r="D443" s="122"/>
      <c r="E443" s="126"/>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166:D167"/>
    <mergeCell ref="E166:E167"/>
    <mergeCell ref="C142:D143"/>
    <mergeCell ref="E142:E143"/>
    <mergeCell ref="C148:U148"/>
    <mergeCell ref="C149:U149"/>
    <mergeCell ref="C151:D152"/>
    <mergeCell ref="E151:E152"/>
    <mergeCell ref="R151:S152"/>
    <mergeCell ref="T151:T152"/>
    <mergeCell ref="C154:D155"/>
    <mergeCell ref="E154:E155"/>
    <mergeCell ref="C139:D140"/>
    <mergeCell ref="E139:E140"/>
    <mergeCell ref="R139:S140"/>
    <mergeCell ref="T139:T140"/>
    <mergeCell ref="C160:U160"/>
    <mergeCell ref="C161:U161"/>
    <mergeCell ref="C163:D164"/>
    <mergeCell ref="E163:E164"/>
    <mergeCell ref="R163:S164"/>
    <mergeCell ref="T163:T164"/>
    <mergeCell ref="C125:U125"/>
    <mergeCell ref="C127:D128"/>
    <mergeCell ref="E127:E128"/>
    <mergeCell ref="R127:S128"/>
    <mergeCell ref="T127:T128"/>
    <mergeCell ref="C130:D131"/>
    <mergeCell ref="E130:E131"/>
    <mergeCell ref="C136:U136"/>
    <mergeCell ref="C137:U137"/>
    <mergeCell ref="C112:U112"/>
    <mergeCell ref="C113:U113"/>
    <mergeCell ref="C115:D116"/>
    <mergeCell ref="E115:E116"/>
    <mergeCell ref="R115:S116"/>
    <mergeCell ref="T115:T116"/>
    <mergeCell ref="C118:D119"/>
    <mergeCell ref="E118:E119"/>
    <mergeCell ref="C124:U124"/>
    <mergeCell ref="C358:D359"/>
    <mergeCell ref="E358:E359"/>
    <mergeCell ref="C346:D347"/>
    <mergeCell ref="E346:E347"/>
    <mergeCell ref="C352:U352"/>
    <mergeCell ref="C353:U353"/>
    <mergeCell ref="C355:D356"/>
    <mergeCell ref="E355:E356"/>
    <mergeCell ref="R355:S356"/>
    <mergeCell ref="T355:T356"/>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364:U364"/>
    <mergeCell ref="C365:U365"/>
    <mergeCell ref="C367:D368"/>
    <mergeCell ref="E367:E368"/>
    <mergeCell ref="R367:S368"/>
    <mergeCell ref="T367:T368"/>
    <mergeCell ref="C370:D371"/>
    <mergeCell ref="E370:E371"/>
    <mergeCell ref="C376:U376"/>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37:U437"/>
    <mergeCell ref="C406:D407"/>
    <mergeCell ref="E406:E407"/>
    <mergeCell ref="C412:U412"/>
    <mergeCell ref="C413:U413"/>
    <mergeCell ref="C415:D416"/>
    <mergeCell ref="E415:E416"/>
    <mergeCell ref="R415:S416"/>
    <mergeCell ref="T415:T416"/>
    <mergeCell ref="C418:D419"/>
    <mergeCell ref="E418:E419"/>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3:W469"/>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3842</v>
      </c>
      <c r="D3" s="94"/>
      <c r="W3" s="35" t="str">
        <f>"-- "&amp;B3&amp;" : "&amp;C3</f>
        <v>-- SQL_ID : 41_01</v>
      </c>
    </row>
    <row r="4" spans="2:23" ht="18.75" customHeight="1">
      <c r="B4" s="43" t="s">
        <v>158</v>
      </c>
      <c r="C4" s="127" t="str">
        <f>R7&amp;"登録"</f>
        <v>ワーク_患者基本データ_DPC登録</v>
      </c>
      <c r="D4" s="128"/>
      <c r="E4" s="128"/>
      <c r="F4" s="128"/>
      <c r="G4" s="128"/>
      <c r="H4" s="128"/>
      <c r="I4" s="128"/>
      <c r="J4" s="128"/>
      <c r="K4" s="128"/>
      <c r="L4" s="128"/>
      <c r="M4" s="128"/>
      <c r="N4" s="128"/>
      <c r="O4" s="128"/>
      <c r="P4" s="128"/>
      <c r="Q4" s="128"/>
      <c r="R4" s="128"/>
      <c r="S4" s="128"/>
      <c r="T4" s="128"/>
      <c r="U4" s="129"/>
      <c r="W4" s="35" t="str">
        <f>"-- "&amp;C4</f>
        <v>-- ワーク_患者基本データ_DPC登録</v>
      </c>
    </row>
    <row r="5" spans="2:23" ht="18.75" customHeight="1">
      <c r="B5" s="43" t="s">
        <v>159</v>
      </c>
      <c r="C5" s="116" t="str">
        <f>"DPCの患者データを抽出し、"&amp;R7&amp;"テーブルに格納する。"</f>
        <v>DPCの患者データを抽出し、ワーク_患者基本データ_DPCテーブルに格納する。</v>
      </c>
      <c r="D5" s="117"/>
      <c r="E5" s="117"/>
      <c r="F5" s="117"/>
      <c r="G5" s="117"/>
      <c r="H5" s="117"/>
      <c r="I5" s="117"/>
      <c r="J5" s="117"/>
      <c r="K5" s="117"/>
      <c r="L5" s="117"/>
      <c r="M5" s="117"/>
      <c r="N5" s="117"/>
      <c r="O5" s="117"/>
      <c r="P5" s="117"/>
      <c r="Q5" s="117"/>
      <c r="R5" s="117"/>
      <c r="S5" s="117"/>
      <c r="T5" s="117"/>
      <c r="U5" s="118"/>
      <c r="W5" s="35" t="str">
        <f>"-- "&amp;C5</f>
        <v>-- DPCの患者データを抽出し、ワーク_患者基本データ_DPCテーブルに格納する。</v>
      </c>
    </row>
    <row r="7" spans="2:23" ht="18.75" customHeight="1">
      <c r="C7" s="119" t="s">
        <v>3844</v>
      </c>
      <c r="D7" s="120"/>
      <c r="E7" s="125" t="str">
        <f>エンティティ一覧!$O$2</f>
        <v>milscm_2023_007</v>
      </c>
      <c r="F7" s="36"/>
      <c r="G7" s="36"/>
      <c r="H7" s="36"/>
      <c r="I7" s="36"/>
      <c r="J7" s="36"/>
      <c r="M7" s="36"/>
      <c r="N7" s="36"/>
      <c r="O7" s="36"/>
      <c r="R7" s="119" t="s">
        <v>3843</v>
      </c>
      <c r="S7" s="120"/>
      <c r="T7" s="125" t="str">
        <f>エンティティ一覧!$O$2</f>
        <v>milscm_2023_007</v>
      </c>
    </row>
    <row r="8" spans="2:23" ht="18.75" customHeight="1">
      <c r="C8" s="121"/>
      <c r="D8" s="122"/>
      <c r="E8" s="126"/>
      <c r="F8" s="37"/>
      <c r="G8" s="37"/>
      <c r="H8" s="37"/>
      <c r="I8" s="37"/>
      <c r="J8" s="37"/>
      <c r="K8" s="37"/>
      <c r="L8" s="38"/>
      <c r="M8" s="37"/>
      <c r="N8" s="37"/>
      <c r="O8" s="37"/>
      <c r="P8" s="37"/>
      <c r="Q8" s="38"/>
      <c r="R8" s="121"/>
      <c r="S8" s="122"/>
      <c r="T8" s="126"/>
    </row>
    <row r="9" spans="2:23" ht="18.75" customHeight="1">
      <c r="K9" s="39"/>
      <c r="L9" s="40"/>
      <c r="P9" s="39"/>
      <c r="Q9" s="40"/>
    </row>
    <row r="10" spans="2:23" ht="18.75" customHeight="1">
      <c r="C10" s="119" t="s">
        <v>3845</v>
      </c>
      <c r="D10" s="120"/>
      <c r="E10" s="125" t="str">
        <f>エンティティ一覧!$O$2</f>
        <v>milscm_2023_007</v>
      </c>
      <c r="F10" s="36"/>
      <c r="G10" s="36"/>
      <c r="H10" s="36"/>
      <c r="I10" s="36"/>
      <c r="J10" s="36"/>
      <c r="L10" s="41"/>
      <c r="P10" s="39"/>
      <c r="Q10" s="40"/>
    </row>
    <row r="11" spans="2:23" ht="18.75" customHeight="1">
      <c r="C11" s="121"/>
      <c r="D11" s="122"/>
      <c r="E11" s="126"/>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19" t="s">
        <v>3745</v>
      </c>
      <c r="I13" s="120"/>
      <c r="J13" s="125" t="str">
        <f>エンティティ一覧!$O$2</f>
        <v>milscm_2023_007</v>
      </c>
      <c r="M13" s="36"/>
      <c r="N13" s="36"/>
      <c r="O13" s="36"/>
      <c r="Q13" s="41"/>
    </row>
    <row r="14" spans="2:23" ht="18.75" customHeight="1">
      <c r="H14" s="121"/>
      <c r="I14" s="122"/>
      <c r="J14" s="126"/>
      <c r="K14" s="37"/>
      <c r="L14" s="38"/>
      <c r="M14" s="37"/>
      <c r="N14" s="37"/>
      <c r="O14" s="37"/>
      <c r="P14" s="37"/>
    </row>
    <row r="15" spans="2:23" ht="18.75" customHeight="1">
      <c r="K15" s="39"/>
      <c r="L15" s="40"/>
    </row>
    <row r="16" spans="2:23" ht="18.75" customHeight="1">
      <c r="H16" s="119" t="s">
        <v>185</v>
      </c>
      <c r="I16" s="120"/>
      <c r="J16" s="125" t="str">
        <f>エンティティ一覧!$O$2</f>
        <v>milscm_2023_007</v>
      </c>
      <c r="L16" s="41"/>
    </row>
    <row r="17" spans="2:23" ht="18.75" customHeight="1">
      <c r="H17" s="121"/>
      <c r="I17" s="122"/>
      <c r="J17" s="126"/>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3846</v>
      </c>
      <c r="D21" s="94"/>
      <c r="W21" s="35" t="str">
        <f>"-- "&amp;B21&amp;" : "&amp;C21</f>
        <v>-- SQL_ID : 41_02</v>
      </c>
    </row>
    <row r="22" spans="2:23" ht="18.75" customHeight="1">
      <c r="B22" s="43" t="s">
        <v>158</v>
      </c>
      <c r="C22" s="127" t="str">
        <f>R25&amp;"登録"</f>
        <v>ワーク_患者基本データ_RCP_MML登録</v>
      </c>
      <c r="D22" s="128"/>
      <c r="E22" s="128"/>
      <c r="F22" s="128"/>
      <c r="G22" s="128"/>
      <c r="H22" s="128"/>
      <c r="I22" s="128"/>
      <c r="J22" s="128"/>
      <c r="K22" s="128"/>
      <c r="L22" s="128"/>
      <c r="M22" s="128"/>
      <c r="N22" s="128"/>
      <c r="O22" s="128"/>
      <c r="P22" s="128"/>
      <c r="Q22" s="128"/>
      <c r="R22" s="128"/>
      <c r="S22" s="128"/>
      <c r="T22" s="128"/>
      <c r="U22" s="129"/>
      <c r="W22" s="35" t="str">
        <f>"-- "&amp;C22</f>
        <v>-- ワーク_患者基本データ_RCP_MML登録</v>
      </c>
    </row>
    <row r="23" spans="2:23" ht="18.75" customHeight="1">
      <c r="B23" s="43" t="s">
        <v>159</v>
      </c>
      <c r="C23" s="116" t="str">
        <f>"レセプト、MMLの患者データを抽出し、"&amp;R25&amp;"テーブルに格納する。"</f>
        <v>レセプト、MMLの患者データを抽出し、ワーク_患者基本データ_RCP_MMLテーブルに格納する。</v>
      </c>
      <c r="D23" s="117"/>
      <c r="E23" s="117"/>
      <c r="F23" s="117"/>
      <c r="G23" s="117"/>
      <c r="H23" s="117"/>
      <c r="I23" s="117"/>
      <c r="J23" s="117"/>
      <c r="K23" s="117"/>
      <c r="L23" s="117"/>
      <c r="M23" s="117"/>
      <c r="N23" s="117"/>
      <c r="O23" s="117"/>
      <c r="P23" s="117"/>
      <c r="Q23" s="117"/>
      <c r="R23" s="117"/>
      <c r="S23" s="117"/>
      <c r="T23" s="117"/>
      <c r="U23" s="118"/>
      <c r="W23" s="35" t="str">
        <f>"-- "&amp;C23</f>
        <v>-- レセプト、MMLの患者データを抽出し、ワーク_患者基本データ_RCP_MMLテーブルに格納する。</v>
      </c>
    </row>
    <row r="25" spans="2:23" ht="18.75" customHeight="1">
      <c r="C25" s="119" t="s">
        <v>3847</v>
      </c>
      <c r="D25" s="120"/>
      <c r="E25" s="125" t="str">
        <f>エンティティ一覧!$O$2</f>
        <v>milscm_2023_007</v>
      </c>
      <c r="F25" s="36"/>
      <c r="G25" s="36"/>
      <c r="H25" s="36"/>
      <c r="I25" s="36"/>
      <c r="J25" s="36"/>
      <c r="K25" s="36"/>
      <c r="L25" s="36"/>
      <c r="M25" s="36"/>
      <c r="N25" s="36"/>
      <c r="O25" s="36"/>
      <c r="R25" s="119" t="s">
        <v>3848</v>
      </c>
      <c r="S25" s="120"/>
      <c r="T25" s="125" t="str">
        <f>エンティティ一覧!$O$2</f>
        <v>milscm_2023_007</v>
      </c>
    </row>
    <row r="26" spans="2:23" ht="18.75" customHeight="1">
      <c r="C26" s="121"/>
      <c r="D26" s="122"/>
      <c r="E26" s="126"/>
      <c r="F26" s="37"/>
      <c r="G26" s="37"/>
      <c r="H26" s="37"/>
      <c r="I26" s="37"/>
      <c r="J26" s="37"/>
      <c r="K26" s="37"/>
      <c r="L26" s="37"/>
      <c r="M26" s="37"/>
      <c r="N26" s="37"/>
      <c r="O26" s="37"/>
      <c r="P26" s="37"/>
      <c r="Q26" s="38"/>
      <c r="R26" s="121"/>
      <c r="S26" s="122"/>
      <c r="T26" s="126"/>
    </row>
    <row r="27" spans="2:23" ht="18.75" customHeight="1">
      <c r="P27" s="39"/>
      <c r="Q27" s="40"/>
    </row>
    <row r="28" spans="2:23" ht="18.75" customHeight="1">
      <c r="H28" s="119" t="s">
        <v>3745</v>
      </c>
      <c r="I28" s="120"/>
      <c r="J28" s="125" t="str">
        <f>エンティティ一覧!$O$2</f>
        <v>milscm_2023_007</v>
      </c>
      <c r="M28" s="36"/>
      <c r="N28" s="36"/>
      <c r="O28" s="36"/>
      <c r="Q28" s="41"/>
    </row>
    <row r="29" spans="2:23" ht="18.75" customHeight="1">
      <c r="H29" s="121"/>
      <c r="I29" s="122"/>
      <c r="J29" s="126"/>
      <c r="K29" s="37"/>
      <c r="L29" s="38"/>
      <c r="M29" s="37"/>
      <c r="N29" s="37"/>
      <c r="O29" s="37"/>
      <c r="P29" s="37"/>
    </row>
    <row r="30" spans="2:23" ht="18.75" customHeight="1">
      <c r="K30" s="39"/>
      <c r="L30" s="40"/>
    </row>
    <row r="31" spans="2:23" ht="18.75" customHeight="1">
      <c r="H31" s="119" t="s">
        <v>185</v>
      </c>
      <c r="I31" s="120"/>
      <c r="J31" s="125" t="str">
        <f>エンティティ一覧!$O$2</f>
        <v>milscm_2023_007</v>
      </c>
      <c r="L31" s="41"/>
    </row>
    <row r="32" spans="2:23" ht="18.75" customHeight="1">
      <c r="H32" s="121"/>
      <c r="I32" s="122"/>
      <c r="J32" s="126"/>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3898</v>
      </c>
      <c r="D36" s="94"/>
      <c r="W36" s="35" t="str">
        <f>"-- "&amp;B36&amp;" : "&amp;C36</f>
        <v>-- SQL_ID : 41_03</v>
      </c>
    </row>
    <row r="37" spans="2:23" ht="18.75" customHeight="1">
      <c r="B37" s="43" t="s">
        <v>158</v>
      </c>
      <c r="C37" s="127" t="str">
        <f>R40&amp;"登録"</f>
        <v>ワーク_疾患データ_DPC登録</v>
      </c>
      <c r="D37" s="128"/>
      <c r="E37" s="128"/>
      <c r="F37" s="128"/>
      <c r="G37" s="128"/>
      <c r="H37" s="128"/>
      <c r="I37" s="128"/>
      <c r="J37" s="128"/>
      <c r="K37" s="128"/>
      <c r="L37" s="128"/>
      <c r="M37" s="128"/>
      <c r="N37" s="128"/>
      <c r="O37" s="128"/>
      <c r="P37" s="128"/>
      <c r="Q37" s="128"/>
      <c r="R37" s="128"/>
      <c r="S37" s="128"/>
      <c r="T37" s="128"/>
      <c r="U37" s="129"/>
      <c r="W37" s="35" t="str">
        <f>"-- "&amp;C37</f>
        <v>-- ワーク_疾患データ_DPC登録</v>
      </c>
    </row>
    <row r="38" spans="2:23" ht="18.75" customHeight="1">
      <c r="B38" s="43" t="s">
        <v>159</v>
      </c>
      <c r="C38" s="116" t="s">
        <v>3849</v>
      </c>
      <c r="D38" s="117"/>
      <c r="E38" s="117"/>
      <c r="F38" s="117"/>
      <c r="G38" s="117"/>
      <c r="H38" s="117"/>
      <c r="I38" s="117"/>
      <c r="J38" s="117"/>
      <c r="K38" s="117"/>
      <c r="L38" s="117"/>
      <c r="M38" s="117"/>
      <c r="N38" s="117"/>
      <c r="O38" s="117"/>
      <c r="P38" s="117"/>
      <c r="Q38" s="117"/>
      <c r="R38" s="117"/>
      <c r="S38" s="117"/>
      <c r="T38" s="117"/>
      <c r="U38" s="118"/>
      <c r="W38" s="35" t="str">
        <f>"-- "&amp;C38</f>
        <v>-- DPCの疾患データ（疑いを除く）を抽出し、疾患マスタに登録されている疾患コードのデータを登録する。</v>
      </c>
    </row>
    <row r="40" spans="2:23" ht="18.75" customHeight="1">
      <c r="C40" s="119" t="s">
        <v>3850</v>
      </c>
      <c r="D40" s="120"/>
      <c r="E40" s="125" t="str">
        <f>エンティティ一覧!$O$2</f>
        <v>milscm_2023_007</v>
      </c>
      <c r="F40" s="36"/>
      <c r="G40" s="36"/>
      <c r="H40" s="36"/>
      <c r="I40" s="36"/>
      <c r="J40" s="36"/>
      <c r="O40" s="36"/>
      <c r="R40" s="119" t="s">
        <v>3851</v>
      </c>
      <c r="S40" s="120"/>
      <c r="T40" s="125" t="str">
        <f>エンティティ一覧!$O$2</f>
        <v>milscm_2023_007</v>
      </c>
    </row>
    <row r="41" spans="2:23" ht="18.75" customHeight="1">
      <c r="C41" s="121"/>
      <c r="D41" s="122"/>
      <c r="E41" s="126"/>
      <c r="F41" s="37"/>
      <c r="G41" s="37"/>
      <c r="H41" s="37"/>
      <c r="I41" s="37"/>
      <c r="J41" s="37"/>
      <c r="K41" s="37"/>
      <c r="L41" s="38"/>
      <c r="M41" s="37"/>
      <c r="N41" s="38"/>
      <c r="O41" s="37"/>
      <c r="P41" s="37"/>
      <c r="Q41" s="38"/>
      <c r="R41" s="121"/>
      <c r="S41" s="122"/>
      <c r="T41" s="126"/>
    </row>
    <row r="42" spans="2:23" ht="18.75" customHeight="1">
      <c r="K42" s="39"/>
      <c r="L42" s="40"/>
      <c r="M42" s="39"/>
      <c r="N42" s="40"/>
      <c r="P42" s="39"/>
      <c r="Q42" s="40"/>
    </row>
    <row r="43" spans="2:23" ht="18.75" customHeight="1">
      <c r="C43" s="119" t="s">
        <v>3844</v>
      </c>
      <c r="D43" s="120"/>
      <c r="E43" s="125" t="str">
        <f>エンティティ一覧!$O$2</f>
        <v>milscm_2023_007</v>
      </c>
      <c r="F43" s="36"/>
      <c r="G43" s="36"/>
      <c r="H43" s="36"/>
      <c r="I43" s="36"/>
      <c r="J43" s="36"/>
      <c r="K43" s="95"/>
      <c r="M43" s="39"/>
      <c r="N43" s="40"/>
      <c r="P43" s="39"/>
      <c r="Q43" s="40"/>
    </row>
    <row r="44" spans="2:23" ht="18.75" customHeight="1">
      <c r="C44" s="121"/>
      <c r="D44" s="122"/>
      <c r="E44" s="126"/>
      <c r="F44" s="37"/>
      <c r="G44" s="37"/>
      <c r="H44" s="37"/>
      <c r="I44" s="37"/>
      <c r="J44" s="37"/>
      <c r="K44" s="96"/>
      <c r="M44" s="39"/>
      <c r="N44" s="40"/>
      <c r="P44" s="39"/>
      <c r="Q44" s="40"/>
    </row>
    <row r="45" spans="2:23" ht="18.75" customHeight="1">
      <c r="K45" s="39"/>
      <c r="L45" s="40"/>
      <c r="M45" s="39"/>
      <c r="N45" s="40"/>
      <c r="P45" s="39"/>
      <c r="Q45" s="40"/>
    </row>
    <row r="46" spans="2:23" ht="18.75" customHeight="1">
      <c r="C46" s="119" t="s">
        <v>3845</v>
      </c>
      <c r="D46" s="120"/>
      <c r="E46" s="125" t="str">
        <f>エンティティ一覧!$O$2</f>
        <v>milscm_2023_007</v>
      </c>
      <c r="F46" s="36"/>
      <c r="G46" s="36"/>
      <c r="H46" s="36"/>
      <c r="I46" s="36"/>
      <c r="J46" s="36"/>
      <c r="K46" s="95"/>
      <c r="L46" s="41"/>
      <c r="M46" s="39"/>
      <c r="N46" s="40"/>
      <c r="P46" s="39"/>
      <c r="Q46" s="40"/>
    </row>
    <row r="47" spans="2:23" ht="18.75" customHeight="1">
      <c r="C47" s="121"/>
      <c r="D47" s="122"/>
      <c r="E47" s="126"/>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19" t="s">
        <v>3852</v>
      </c>
      <c r="D53" s="120"/>
      <c r="E53" s="125" t="str">
        <f>エンティティ一覧!$O$2</f>
        <v>milscm_2023_007</v>
      </c>
      <c r="F53" s="36"/>
      <c r="G53" s="36"/>
      <c r="H53" s="36"/>
      <c r="I53" s="36"/>
      <c r="J53" s="36"/>
      <c r="K53" s="95"/>
      <c r="L53" s="41"/>
      <c r="M53" s="39"/>
      <c r="N53" s="40"/>
      <c r="P53" s="39"/>
      <c r="Q53" s="40"/>
    </row>
    <row r="54" spans="3:17" ht="18.75" customHeight="1">
      <c r="C54" s="121"/>
      <c r="D54" s="122"/>
      <c r="E54" s="126"/>
      <c r="F54" s="37"/>
      <c r="G54" s="37"/>
      <c r="H54" s="37"/>
      <c r="I54" s="37"/>
      <c r="J54" s="37"/>
      <c r="K54" s="96"/>
      <c r="M54" s="39"/>
      <c r="N54" s="40"/>
      <c r="P54" s="39"/>
      <c r="Q54" s="40"/>
    </row>
    <row r="55" spans="3:17" ht="18.75" customHeight="1">
      <c r="K55" s="39"/>
      <c r="L55" s="40"/>
      <c r="M55" s="39"/>
      <c r="N55" s="40"/>
      <c r="P55" s="39"/>
      <c r="Q55" s="40"/>
    </row>
    <row r="56" spans="3:17" ht="18.75" customHeight="1">
      <c r="C56" s="119" t="s">
        <v>3853</v>
      </c>
      <c r="D56" s="120"/>
      <c r="E56" s="125" t="str">
        <f>エンティティ一覧!$O$2</f>
        <v>milscm_2023_007</v>
      </c>
      <c r="F56" s="36"/>
      <c r="G56" s="36"/>
      <c r="H56" s="36"/>
      <c r="I56" s="36"/>
      <c r="J56" s="36"/>
      <c r="L56" s="41"/>
      <c r="M56" s="39"/>
      <c r="N56" s="40"/>
      <c r="P56" s="39"/>
      <c r="Q56" s="40"/>
    </row>
    <row r="57" spans="3:17" ht="18.75" customHeight="1">
      <c r="C57" s="121"/>
      <c r="D57" s="122"/>
      <c r="E57" s="126"/>
      <c r="F57" s="37"/>
      <c r="G57" s="37"/>
      <c r="H57" s="37"/>
      <c r="I57" s="37"/>
      <c r="J57" s="37"/>
      <c r="K57" s="37"/>
      <c r="M57" s="39"/>
      <c r="N57" s="40"/>
      <c r="P57" s="39"/>
      <c r="Q57" s="40"/>
    </row>
    <row r="58" spans="3:17" ht="18.75" customHeight="1">
      <c r="M58" s="39"/>
      <c r="N58" s="40"/>
      <c r="P58" s="39"/>
      <c r="Q58" s="40"/>
    </row>
    <row r="59" spans="3:17" ht="18.75" customHeight="1">
      <c r="H59" s="119" t="s">
        <v>3829</v>
      </c>
      <c r="I59" s="120"/>
      <c r="J59" s="125" t="str">
        <f>エンティティ一覧!$O$2</f>
        <v>milscm_2023_007</v>
      </c>
      <c r="K59" s="36"/>
      <c r="L59" s="36"/>
      <c r="N59" s="41"/>
      <c r="P59" s="39"/>
      <c r="Q59" s="40"/>
    </row>
    <row r="60" spans="3:17" ht="18.75" customHeight="1">
      <c r="H60" s="121"/>
      <c r="I60" s="122"/>
      <c r="J60" s="126"/>
      <c r="K60" s="37"/>
      <c r="L60" s="37"/>
      <c r="M60" s="37"/>
      <c r="P60" s="39"/>
      <c r="Q60" s="40"/>
    </row>
    <row r="61" spans="3:17" ht="18.75" customHeight="1">
      <c r="P61" s="39"/>
      <c r="Q61" s="40"/>
    </row>
    <row r="62" spans="3:17" ht="18.75" customHeight="1">
      <c r="H62" s="119" t="s">
        <v>3745</v>
      </c>
      <c r="I62" s="120"/>
      <c r="J62" s="125" t="str">
        <f>エンティティ一覧!$O$2</f>
        <v>milscm_2023_007</v>
      </c>
      <c r="M62" s="36"/>
      <c r="N62" s="36"/>
      <c r="O62" s="36"/>
      <c r="Q62" s="41"/>
    </row>
    <row r="63" spans="3:17" ht="18.75" customHeight="1">
      <c r="H63" s="121"/>
      <c r="I63" s="122"/>
      <c r="J63" s="126"/>
      <c r="K63" s="37"/>
      <c r="L63" s="38"/>
      <c r="M63" s="37"/>
      <c r="N63" s="37"/>
      <c r="O63" s="37"/>
      <c r="P63" s="37"/>
    </row>
    <row r="64" spans="3:17" ht="18.75" customHeight="1">
      <c r="K64" s="39"/>
      <c r="L64" s="40"/>
    </row>
    <row r="65" spans="2:23" ht="18.75" customHeight="1">
      <c r="H65" s="119" t="s">
        <v>185</v>
      </c>
      <c r="I65" s="120"/>
      <c r="J65" s="125" t="str">
        <f>エンティティ一覧!$O$2</f>
        <v>milscm_2023_007</v>
      </c>
      <c r="L65" s="41"/>
    </row>
    <row r="66" spans="2:23" ht="18.75" customHeight="1">
      <c r="H66" s="121"/>
      <c r="I66" s="122"/>
      <c r="J66" s="126"/>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3901</v>
      </c>
      <c r="D70" s="94"/>
      <c r="W70" s="35" t="str">
        <f>"-- "&amp;B70&amp;" : "&amp;C70</f>
        <v>-- SQL_ID : 41_04</v>
      </c>
    </row>
    <row r="71" spans="2:23" ht="18.75" customHeight="1">
      <c r="B71" s="43" t="s">
        <v>158</v>
      </c>
      <c r="C71" s="127" t="str">
        <f>R74&amp;"登録"</f>
        <v>ワーク_疾患データ_RCP登録</v>
      </c>
      <c r="D71" s="128"/>
      <c r="E71" s="128"/>
      <c r="F71" s="128"/>
      <c r="G71" s="128"/>
      <c r="H71" s="128"/>
      <c r="I71" s="128"/>
      <c r="J71" s="128"/>
      <c r="K71" s="128"/>
      <c r="L71" s="128"/>
      <c r="M71" s="128"/>
      <c r="N71" s="128"/>
      <c r="O71" s="128"/>
      <c r="P71" s="128"/>
      <c r="Q71" s="128"/>
      <c r="R71" s="128"/>
      <c r="S71" s="128"/>
      <c r="T71" s="128"/>
      <c r="U71" s="129"/>
      <c r="W71" s="35" t="str">
        <f>"-- "&amp;C71</f>
        <v>-- ワーク_疾患データ_RCP登録</v>
      </c>
    </row>
    <row r="72" spans="2:23" ht="18.75" customHeight="1">
      <c r="B72" s="43" t="s">
        <v>159</v>
      </c>
      <c r="C72" s="116" t="s">
        <v>3902</v>
      </c>
      <c r="D72" s="117"/>
      <c r="E72" s="117"/>
      <c r="F72" s="117"/>
      <c r="G72" s="117"/>
      <c r="H72" s="117"/>
      <c r="I72" s="117"/>
      <c r="J72" s="117"/>
      <c r="K72" s="117"/>
      <c r="L72" s="117"/>
      <c r="M72" s="117"/>
      <c r="N72" s="117"/>
      <c r="O72" s="117"/>
      <c r="P72" s="117"/>
      <c r="Q72" s="117"/>
      <c r="R72" s="117"/>
      <c r="S72" s="117"/>
      <c r="T72" s="117"/>
      <c r="U72" s="118"/>
      <c r="W72" s="35" t="str">
        <f>"-- "&amp;C72</f>
        <v>-- レセプトの疾患データ（疑いを除く）を抽出し、疾患マスタに登録されている疾患コードのデータを登録する。</v>
      </c>
    </row>
    <row r="74" spans="2:23" ht="18.75" customHeight="1">
      <c r="C74" s="119" t="s">
        <v>3899</v>
      </c>
      <c r="D74" s="120"/>
      <c r="E74" s="125" t="str">
        <f>エンティティ一覧!$O$2</f>
        <v>milscm_2023_007</v>
      </c>
      <c r="F74" s="36"/>
      <c r="G74" s="36"/>
      <c r="H74" s="36"/>
      <c r="I74" s="36"/>
      <c r="J74" s="36"/>
      <c r="M74" s="36"/>
      <c r="N74" s="36"/>
      <c r="O74" s="36"/>
      <c r="R74" s="119" t="s">
        <v>3900</v>
      </c>
      <c r="S74" s="120"/>
      <c r="T74" s="125" t="str">
        <f>エンティティ一覧!$O$2</f>
        <v>milscm_2023_007</v>
      </c>
    </row>
    <row r="75" spans="2:23" ht="18.75" customHeight="1">
      <c r="C75" s="121"/>
      <c r="D75" s="122"/>
      <c r="E75" s="126"/>
      <c r="F75" s="37"/>
      <c r="G75" s="37"/>
      <c r="H75" s="37"/>
      <c r="I75" s="37"/>
      <c r="J75" s="37"/>
      <c r="K75" s="37"/>
      <c r="L75" s="38"/>
      <c r="M75" s="37"/>
      <c r="N75" s="37"/>
      <c r="O75" s="37"/>
      <c r="P75" s="37"/>
      <c r="Q75" s="38"/>
      <c r="R75" s="121"/>
      <c r="S75" s="122"/>
      <c r="T75" s="126"/>
    </row>
    <row r="76" spans="2:23" ht="18.75" customHeight="1">
      <c r="K76" s="39"/>
      <c r="L76" s="40"/>
      <c r="P76" s="39"/>
      <c r="Q76" s="40"/>
    </row>
    <row r="77" spans="2:23" ht="18.75" customHeight="1">
      <c r="H77" s="119" t="s">
        <v>3829</v>
      </c>
      <c r="I77" s="120"/>
      <c r="J77" s="125" t="str">
        <f>エンティティ一覧!$O$2</f>
        <v>milscm_2023_007</v>
      </c>
      <c r="L77" s="41"/>
      <c r="P77" s="39"/>
      <c r="Q77" s="40"/>
    </row>
    <row r="78" spans="2:23" ht="18.75" customHeight="1">
      <c r="H78" s="121"/>
      <c r="I78" s="122"/>
      <c r="J78" s="126"/>
      <c r="K78" s="37"/>
      <c r="P78" s="39"/>
      <c r="Q78" s="40"/>
    </row>
    <row r="79" spans="2:23" ht="18.75" customHeight="1">
      <c r="P79" s="39"/>
      <c r="Q79" s="40"/>
    </row>
    <row r="80" spans="2:23" ht="18.75" customHeight="1">
      <c r="H80" s="119" t="s">
        <v>3745</v>
      </c>
      <c r="I80" s="120"/>
      <c r="J80" s="125" t="str">
        <f>エンティティ一覧!$O$2</f>
        <v>milscm_2023_007</v>
      </c>
      <c r="M80" s="36"/>
      <c r="N80" s="36"/>
      <c r="O80" s="36"/>
      <c r="Q80" s="41"/>
    </row>
    <row r="81" spans="1:23" ht="18.75" customHeight="1">
      <c r="H81" s="121"/>
      <c r="I81" s="122"/>
      <c r="J81" s="126"/>
      <c r="K81" s="37"/>
      <c r="L81" s="38"/>
      <c r="M81" s="37"/>
      <c r="N81" s="37"/>
      <c r="O81" s="37"/>
      <c r="P81" s="37"/>
    </row>
    <row r="82" spans="1:23" ht="18.75" customHeight="1">
      <c r="K82" s="39"/>
      <c r="L82" s="40"/>
    </row>
    <row r="83" spans="1:23" ht="18.75" customHeight="1">
      <c r="H83" s="119" t="s">
        <v>185</v>
      </c>
      <c r="I83" s="120"/>
      <c r="J83" s="125" t="str">
        <f>エンティティ一覧!$O$2</f>
        <v>milscm_2023_007</v>
      </c>
      <c r="L83" s="41"/>
    </row>
    <row r="84" spans="1:23" ht="18.75" customHeight="1">
      <c r="H84" s="121"/>
      <c r="I84" s="122"/>
      <c r="J84" s="126"/>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8" spans="1:23" ht="18.75" customHeight="1">
      <c r="A88" s="75"/>
      <c r="B88" s="43" t="s">
        <v>163</v>
      </c>
      <c r="C88" s="51" t="s">
        <v>4127</v>
      </c>
      <c r="D88" s="108"/>
      <c r="W88" s="35" t="str">
        <f>"-- "&amp;B88&amp;" : "&amp;C88</f>
        <v>-- SQL_ID : 41_05</v>
      </c>
    </row>
    <row r="89" spans="1:23" ht="18.75" customHeight="1">
      <c r="B89" s="43" t="s">
        <v>158</v>
      </c>
      <c r="C89" s="127" t="str">
        <f>R92&amp;"登録"</f>
        <v>ワーク_疾患データ_MML登録</v>
      </c>
      <c r="D89" s="128"/>
      <c r="E89" s="128"/>
      <c r="F89" s="128"/>
      <c r="G89" s="128"/>
      <c r="H89" s="128"/>
      <c r="I89" s="128"/>
      <c r="J89" s="128"/>
      <c r="K89" s="128"/>
      <c r="L89" s="128"/>
      <c r="M89" s="128"/>
      <c r="N89" s="128"/>
      <c r="O89" s="128"/>
      <c r="P89" s="128"/>
      <c r="Q89" s="128"/>
      <c r="R89" s="128"/>
      <c r="S89" s="128"/>
      <c r="T89" s="128"/>
      <c r="U89" s="129"/>
      <c r="W89" s="35" t="str">
        <f>"-- "&amp;C89</f>
        <v>-- ワーク_疾患データ_MML登録</v>
      </c>
    </row>
    <row r="90" spans="1:23" ht="18.75" customHeight="1">
      <c r="B90" s="43" t="s">
        <v>159</v>
      </c>
      <c r="C90" s="116" t="s">
        <v>4130</v>
      </c>
      <c r="D90" s="117"/>
      <c r="E90" s="117"/>
      <c r="F90" s="117"/>
      <c r="G90" s="117"/>
      <c r="H90" s="117"/>
      <c r="I90" s="117"/>
      <c r="J90" s="117"/>
      <c r="K90" s="117"/>
      <c r="L90" s="117"/>
      <c r="M90" s="117"/>
      <c r="N90" s="117"/>
      <c r="O90" s="117"/>
      <c r="P90" s="117"/>
      <c r="Q90" s="117"/>
      <c r="R90" s="117"/>
      <c r="S90" s="117"/>
      <c r="T90" s="117"/>
      <c r="U90" s="118"/>
      <c r="W90" s="35" t="str">
        <f>"-- "&amp;C90</f>
        <v>-- MMLの疾患データ（疑いを除く）を抽出し、疾患マスタに登録されている疾患コードのデータを登録する。</v>
      </c>
    </row>
    <row r="92" spans="1:23" ht="18.75" customHeight="1">
      <c r="C92" s="119" t="s">
        <v>3694</v>
      </c>
      <c r="D92" s="120"/>
      <c r="E92" s="125" t="str">
        <f>エンティティ一覧!$O$2</f>
        <v>milscm_2023_007</v>
      </c>
      <c r="H92" s="36"/>
      <c r="I92" s="36"/>
      <c r="J92" s="36"/>
      <c r="M92" s="36"/>
      <c r="R92" s="119" t="s">
        <v>4128</v>
      </c>
      <c r="S92" s="120"/>
      <c r="T92" s="125" t="str">
        <f>エンティティ一覧!$O$2</f>
        <v>milscm_2023_007</v>
      </c>
    </row>
    <row r="93" spans="1:23" ht="18.75" customHeight="1">
      <c r="C93" s="121"/>
      <c r="D93" s="122"/>
      <c r="E93" s="126"/>
      <c r="F93" s="37"/>
      <c r="G93" s="38"/>
      <c r="H93" s="37"/>
      <c r="I93" s="37"/>
      <c r="J93" s="37"/>
      <c r="K93" s="37"/>
      <c r="L93" s="38"/>
      <c r="M93" s="37"/>
      <c r="N93" s="37"/>
      <c r="O93" s="38"/>
      <c r="P93" s="37"/>
      <c r="Q93" s="38"/>
      <c r="R93" s="121"/>
      <c r="S93" s="122"/>
      <c r="T93" s="126"/>
    </row>
    <row r="94" spans="1:23" ht="18.75" customHeight="1">
      <c r="F94" s="39"/>
      <c r="G94" s="40"/>
      <c r="K94" s="39"/>
      <c r="L94" s="40"/>
      <c r="N94" s="39"/>
      <c r="O94" s="40"/>
      <c r="P94" s="39"/>
      <c r="Q94" s="40"/>
    </row>
    <row r="95" spans="1:23" ht="18.75" customHeight="1">
      <c r="C95" s="119" t="s">
        <v>3829</v>
      </c>
      <c r="D95" s="120"/>
      <c r="E95" s="125" t="str">
        <f>エンティティ一覧!$O$2</f>
        <v>milscm_2023_007</v>
      </c>
      <c r="G95" s="41"/>
      <c r="K95" s="39"/>
      <c r="L95" s="40"/>
      <c r="N95" s="39"/>
      <c r="O95" s="40"/>
      <c r="P95" s="39"/>
      <c r="Q95" s="40"/>
    </row>
    <row r="96" spans="1:23" ht="18.75" customHeight="1">
      <c r="C96" s="121"/>
      <c r="D96" s="122"/>
      <c r="E96" s="126"/>
      <c r="F96" s="37"/>
      <c r="K96" s="39"/>
      <c r="L96" s="40"/>
      <c r="N96" s="39"/>
      <c r="O96" s="40"/>
      <c r="P96" s="39"/>
      <c r="Q96" s="40"/>
    </row>
    <row r="97" spans="3:17" ht="18.75" customHeight="1">
      <c r="K97" s="39"/>
      <c r="L97" s="40"/>
      <c r="N97" s="39"/>
      <c r="O97" s="40"/>
      <c r="P97" s="39"/>
      <c r="Q97" s="40"/>
    </row>
    <row r="98" spans="3:17" ht="18.75" customHeight="1">
      <c r="H98" s="130" t="s">
        <v>3693</v>
      </c>
      <c r="I98" s="131"/>
      <c r="J98" s="125" t="str">
        <f>エンティティ一覧!$O$2</f>
        <v>milscm_2023_007</v>
      </c>
      <c r="L98" s="41"/>
      <c r="N98" s="39"/>
      <c r="O98" s="40"/>
      <c r="P98" s="39"/>
      <c r="Q98" s="40"/>
    </row>
    <row r="99" spans="3:17" ht="18.75" customHeight="1">
      <c r="H99" s="132"/>
      <c r="I99" s="133"/>
      <c r="J99" s="126"/>
      <c r="K99" s="37"/>
      <c r="N99" s="39"/>
      <c r="O99" s="40"/>
      <c r="P99" s="39"/>
      <c r="Q99" s="40"/>
    </row>
    <row r="100" spans="3:17" ht="18.75" customHeight="1">
      <c r="N100" s="39"/>
      <c r="O100" s="40"/>
      <c r="P100" s="39"/>
      <c r="Q100" s="40"/>
    </row>
    <row r="101" spans="3:17" ht="18.75" customHeight="1">
      <c r="C101" s="119" t="s">
        <v>3714</v>
      </c>
      <c r="D101" s="120"/>
      <c r="E101" s="125" t="str">
        <f>エンティティ一覧!$O$2</f>
        <v>milscm_2023_007</v>
      </c>
      <c r="H101" s="36"/>
      <c r="I101" s="36"/>
      <c r="J101" s="36"/>
      <c r="M101" s="36"/>
      <c r="O101" s="41"/>
      <c r="P101" s="39"/>
      <c r="Q101" s="40"/>
    </row>
    <row r="102" spans="3:17" ht="18.75" customHeight="1">
      <c r="C102" s="121"/>
      <c r="D102" s="122"/>
      <c r="E102" s="126"/>
      <c r="F102" s="37"/>
      <c r="G102" s="38"/>
      <c r="H102" s="37"/>
      <c r="I102" s="37"/>
      <c r="J102" s="37"/>
      <c r="K102" s="37"/>
      <c r="L102" s="38"/>
      <c r="M102" s="37"/>
      <c r="N102" s="37"/>
      <c r="P102" s="39"/>
      <c r="Q102" s="40"/>
    </row>
    <row r="103" spans="3:17" ht="18.75" customHeight="1">
      <c r="F103" s="39"/>
      <c r="G103" s="40"/>
      <c r="K103" s="39"/>
      <c r="L103" s="40"/>
      <c r="P103" s="39"/>
      <c r="Q103" s="40"/>
    </row>
    <row r="104" spans="3:17" ht="18.75" customHeight="1">
      <c r="C104" s="119" t="s">
        <v>3829</v>
      </c>
      <c r="D104" s="120"/>
      <c r="E104" s="125" t="str">
        <f>エンティティ一覧!$O$2</f>
        <v>milscm_2023_007</v>
      </c>
      <c r="G104" s="41"/>
      <c r="K104" s="39"/>
      <c r="L104" s="40"/>
      <c r="P104" s="39"/>
      <c r="Q104" s="40"/>
    </row>
    <row r="105" spans="3:17" ht="18.75" customHeight="1">
      <c r="C105" s="121"/>
      <c r="D105" s="122"/>
      <c r="E105" s="126"/>
      <c r="F105" s="37"/>
      <c r="K105" s="39"/>
      <c r="L105" s="40"/>
      <c r="P105" s="39"/>
      <c r="Q105" s="40"/>
    </row>
    <row r="106" spans="3:17" ht="18.75" customHeight="1">
      <c r="K106" s="39"/>
      <c r="L106" s="40"/>
      <c r="P106" s="39"/>
      <c r="Q106" s="40"/>
    </row>
    <row r="107" spans="3:17" ht="18.75" customHeight="1">
      <c r="H107" s="119" t="s">
        <v>4129</v>
      </c>
      <c r="I107" s="120"/>
      <c r="J107" s="125" t="str">
        <f>エンティティ一覧!$O$2</f>
        <v>milscm_2023_007</v>
      </c>
      <c r="L107" s="41"/>
      <c r="P107" s="39"/>
      <c r="Q107" s="40"/>
    </row>
    <row r="108" spans="3:17" ht="18.75" customHeight="1">
      <c r="H108" s="121"/>
      <c r="I108" s="122"/>
      <c r="J108" s="126"/>
      <c r="K108" s="110"/>
      <c r="P108" s="39"/>
      <c r="Q108" s="40"/>
    </row>
    <row r="109" spans="3:17" ht="18.75" customHeight="1">
      <c r="K109" s="111"/>
      <c r="P109" s="39"/>
      <c r="Q109" s="40"/>
    </row>
    <row r="110" spans="3:17" ht="18.75" customHeight="1">
      <c r="H110" s="119" t="s">
        <v>3678</v>
      </c>
      <c r="I110" s="120"/>
      <c r="J110" s="123" t="s">
        <v>162</v>
      </c>
      <c r="L110" s="41"/>
      <c r="P110" s="39"/>
      <c r="Q110" s="40"/>
    </row>
    <row r="111" spans="3:17" ht="18.75" customHeight="1">
      <c r="H111" s="121"/>
      <c r="I111" s="122"/>
      <c r="J111" s="124"/>
      <c r="K111" s="37"/>
      <c r="P111" s="39"/>
      <c r="Q111" s="40"/>
    </row>
    <row r="112" spans="3:17" ht="18.75" customHeight="1">
      <c r="P112" s="39"/>
      <c r="Q112" s="40"/>
    </row>
    <row r="113" spans="2:23" ht="18.75" customHeight="1">
      <c r="H113" s="119" t="s">
        <v>3745</v>
      </c>
      <c r="I113" s="120"/>
      <c r="J113" s="125" t="str">
        <f>エンティティ一覧!$O$2</f>
        <v>milscm_2023_007</v>
      </c>
      <c r="M113" s="36"/>
      <c r="N113" s="36"/>
      <c r="O113" s="36"/>
      <c r="Q113" s="41"/>
    </row>
    <row r="114" spans="2:23" ht="18.75" customHeight="1">
      <c r="H114" s="121"/>
      <c r="I114" s="122"/>
      <c r="J114" s="126"/>
      <c r="K114" s="37"/>
      <c r="L114" s="38"/>
      <c r="M114" s="37"/>
      <c r="N114" s="37"/>
      <c r="O114" s="37"/>
      <c r="P114" s="37"/>
    </row>
    <row r="115" spans="2:23" ht="18.75" customHeight="1">
      <c r="K115" s="39"/>
      <c r="L115" s="40"/>
    </row>
    <row r="116" spans="2:23" ht="18.75" customHeight="1">
      <c r="H116" s="119" t="s">
        <v>185</v>
      </c>
      <c r="I116" s="120"/>
      <c r="J116" s="125" t="str">
        <f>エンティティ一覧!$O$2</f>
        <v>milscm_2023_007</v>
      </c>
      <c r="L116" s="41"/>
    </row>
    <row r="117" spans="2:23" ht="18.75" customHeight="1">
      <c r="H117" s="121"/>
      <c r="I117" s="122"/>
      <c r="J117" s="126"/>
      <c r="K117" s="37"/>
    </row>
    <row r="119" spans="2:23" ht="18.75" customHeight="1" thickBot="1">
      <c r="B119" s="42"/>
      <c r="C119" s="42"/>
      <c r="D119" s="42"/>
      <c r="E119" s="42"/>
      <c r="F119" s="42"/>
      <c r="G119" s="42"/>
      <c r="H119" s="42"/>
      <c r="I119" s="42"/>
      <c r="J119" s="42"/>
      <c r="K119" s="42"/>
      <c r="L119" s="42"/>
      <c r="M119" s="42"/>
      <c r="N119" s="42"/>
      <c r="O119" s="42"/>
      <c r="P119" s="42"/>
      <c r="Q119" s="42"/>
      <c r="R119" s="42"/>
      <c r="S119" s="42"/>
      <c r="T119" s="42"/>
      <c r="U119" s="42"/>
    </row>
    <row r="121" spans="2:23" ht="18.75" customHeight="1">
      <c r="B121" s="43" t="s">
        <v>163</v>
      </c>
      <c r="C121" s="51" t="s">
        <v>4131</v>
      </c>
      <c r="D121" s="108"/>
      <c r="W121" s="35" t="str">
        <f>"-- "&amp;B121&amp;" : "&amp;C121</f>
        <v>-- SQL_ID : 41_06</v>
      </c>
    </row>
    <row r="122" spans="2:23" ht="18.75" customHeight="1">
      <c r="B122" s="43" t="s">
        <v>158</v>
      </c>
      <c r="C122" s="127" t="str">
        <f>R125&amp;"登録"</f>
        <v>ワーク_入院退院_DPC登録</v>
      </c>
      <c r="D122" s="128"/>
      <c r="E122" s="128"/>
      <c r="F122" s="128"/>
      <c r="G122" s="128"/>
      <c r="H122" s="128"/>
      <c r="I122" s="128"/>
      <c r="J122" s="128"/>
      <c r="K122" s="128"/>
      <c r="L122" s="128"/>
      <c r="M122" s="128"/>
      <c r="N122" s="128"/>
      <c r="O122" s="128"/>
      <c r="P122" s="128"/>
      <c r="Q122" s="128"/>
      <c r="R122" s="128"/>
      <c r="S122" s="128"/>
      <c r="T122" s="128"/>
      <c r="U122" s="129"/>
      <c r="W122" s="35" t="str">
        <f>"-- "&amp;C122</f>
        <v>-- ワーク_入院退院_DPC登録</v>
      </c>
    </row>
    <row r="123" spans="2:23" ht="18.75" customHeight="1">
      <c r="B123" s="43" t="s">
        <v>159</v>
      </c>
      <c r="C123" s="116" t="str">
        <f>"DPCの患者データを抽出し、"&amp;R125&amp;"テーブルに格納する。"</f>
        <v>DPCの患者データを抽出し、ワーク_入院退院_DPCテーブルに格納する。</v>
      </c>
      <c r="D123" s="117"/>
      <c r="E123" s="117"/>
      <c r="F123" s="117"/>
      <c r="G123" s="117"/>
      <c r="H123" s="117"/>
      <c r="I123" s="117"/>
      <c r="J123" s="117"/>
      <c r="K123" s="117"/>
      <c r="L123" s="117"/>
      <c r="M123" s="117"/>
      <c r="N123" s="117"/>
      <c r="O123" s="117"/>
      <c r="P123" s="117"/>
      <c r="Q123" s="117"/>
      <c r="R123" s="117"/>
      <c r="S123" s="117"/>
      <c r="T123" s="117"/>
      <c r="U123" s="118"/>
      <c r="W123" s="35" t="str">
        <f>"-- "&amp;C123</f>
        <v>-- DPCの患者データを抽出し、ワーク_入院退院_DPCテーブルに格納する。</v>
      </c>
    </row>
    <row r="125" spans="2:23" ht="18.75" customHeight="1">
      <c r="C125" s="119" t="s">
        <v>4139</v>
      </c>
      <c r="D125" s="120"/>
      <c r="E125" s="125" t="str">
        <f>エンティティ一覧!$O$2</f>
        <v>milscm_2023_007</v>
      </c>
      <c r="F125" s="36"/>
      <c r="G125" s="36"/>
      <c r="H125" s="36"/>
      <c r="I125" s="36"/>
      <c r="J125" s="36"/>
      <c r="M125" s="36"/>
      <c r="N125" s="36"/>
      <c r="O125" s="36"/>
      <c r="R125" s="119" t="s">
        <v>4147</v>
      </c>
      <c r="S125" s="120"/>
      <c r="T125" s="125" t="str">
        <f>エンティティ一覧!$O$2</f>
        <v>milscm_2023_007</v>
      </c>
    </row>
    <row r="126" spans="2:23" ht="18.75" customHeight="1">
      <c r="C126" s="121"/>
      <c r="D126" s="122"/>
      <c r="E126" s="126"/>
      <c r="F126" s="37"/>
      <c r="G126" s="37"/>
      <c r="H126" s="37"/>
      <c r="I126" s="37"/>
      <c r="J126" s="37"/>
      <c r="K126" s="37"/>
      <c r="L126" s="38"/>
      <c r="M126" s="37"/>
      <c r="N126" s="37"/>
      <c r="O126" s="37"/>
      <c r="P126" s="37"/>
      <c r="Q126" s="38"/>
      <c r="R126" s="121"/>
      <c r="S126" s="122"/>
      <c r="T126" s="126"/>
    </row>
    <row r="127" spans="2:23" ht="18.75" customHeight="1">
      <c r="K127" s="39"/>
      <c r="L127" s="40"/>
      <c r="P127" s="39"/>
      <c r="Q127" s="40"/>
    </row>
    <row r="128" spans="2:23" ht="18.75" customHeight="1">
      <c r="C128" s="119" t="s">
        <v>4137</v>
      </c>
      <c r="D128" s="120"/>
      <c r="E128" s="125" t="str">
        <f>エンティティ一覧!$O$2</f>
        <v>milscm_2023_007</v>
      </c>
      <c r="F128" s="36"/>
      <c r="G128" s="36"/>
      <c r="H128" s="36"/>
      <c r="I128" s="36"/>
      <c r="J128" s="36"/>
      <c r="L128" s="41"/>
      <c r="Q128" s="41"/>
    </row>
    <row r="129" spans="2:23" ht="18.75" customHeight="1">
      <c r="C129" s="121"/>
      <c r="D129" s="122"/>
      <c r="E129" s="126"/>
      <c r="F129" s="37"/>
      <c r="G129" s="37"/>
      <c r="H129" s="37"/>
      <c r="I129" s="37"/>
      <c r="J129" s="37"/>
      <c r="K129" s="37"/>
      <c r="Q129" s="41"/>
    </row>
    <row r="130" spans="2:23" ht="18.75" customHeight="1">
      <c r="P130" s="39"/>
      <c r="Q130" s="40"/>
    </row>
    <row r="131" spans="2:23" ht="18.75" customHeight="1">
      <c r="H131" s="119" t="s">
        <v>3745</v>
      </c>
      <c r="I131" s="120"/>
      <c r="J131" s="125" t="str">
        <f>エンティティ一覧!$O$2</f>
        <v>milscm_2023_007</v>
      </c>
      <c r="M131" s="36"/>
      <c r="N131" s="36"/>
      <c r="O131" s="36"/>
      <c r="Q131" s="41"/>
    </row>
    <row r="132" spans="2:23" ht="18.75" customHeight="1">
      <c r="H132" s="121"/>
      <c r="I132" s="122"/>
      <c r="J132" s="126"/>
      <c r="K132" s="37"/>
      <c r="L132" s="38"/>
      <c r="M132" s="37"/>
      <c r="N132" s="37"/>
      <c r="O132" s="37"/>
      <c r="P132" s="37"/>
    </row>
    <row r="133" spans="2:23" ht="18.75" customHeight="1">
      <c r="K133" s="39"/>
      <c r="L133" s="40"/>
    </row>
    <row r="134" spans="2:23" ht="18.75" customHeight="1">
      <c r="H134" s="119" t="s">
        <v>185</v>
      </c>
      <c r="I134" s="120"/>
      <c r="J134" s="125" t="str">
        <f>エンティティ一覧!$O$2</f>
        <v>milscm_2023_007</v>
      </c>
      <c r="L134" s="41"/>
    </row>
    <row r="135" spans="2:23" ht="18.75" customHeight="1">
      <c r="H135" s="121"/>
      <c r="I135" s="122"/>
      <c r="J135" s="126"/>
      <c r="K135" s="37"/>
    </row>
    <row r="137" spans="2:23" ht="18.75" customHeight="1" thickBot="1">
      <c r="B137" s="42"/>
      <c r="C137" s="42"/>
      <c r="D137" s="42"/>
      <c r="E137" s="42"/>
      <c r="F137" s="42"/>
      <c r="G137" s="42"/>
      <c r="H137" s="42"/>
      <c r="I137" s="42"/>
      <c r="J137" s="42"/>
      <c r="K137" s="42"/>
      <c r="L137" s="42"/>
      <c r="M137" s="42"/>
      <c r="N137" s="42"/>
      <c r="O137" s="42"/>
      <c r="P137" s="42"/>
      <c r="Q137" s="42"/>
      <c r="R137" s="42"/>
      <c r="S137" s="42"/>
      <c r="T137" s="42"/>
      <c r="U137" s="42"/>
    </row>
    <row r="139" spans="2:23" ht="18.75" customHeight="1">
      <c r="B139" s="43" t="s">
        <v>163</v>
      </c>
      <c r="C139" s="51" t="s">
        <v>4133</v>
      </c>
      <c r="D139" s="108"/>
      <c r="W139" s="35" t="str">
        <f>"-- "&amp;B139&amp;" : "&amp;C139</f>
        <v>-- SQL_ID : 41_07</v>
      </c>
    </row>
    <row r="140" spans="2:23" ht="18.75" customHeight="1">
      <c r="B140" s="43" t="s">
        <v>158</v>
      </c>
      <c r="C140" s="127" t="str">
        <f>R143&amp;"登録"</f>
        <v>ワーク_入院退院_MML登録</v>
      </c>
      <c r="D140" s="128"/>
      <c r="E140" s="128"/>
      <c r="F140" s="128"/>
      <c r="G140" s="128"/>
      <c r="H140" s="128"/>
      <c r="I140" s="128"/>
      <c r="J140" s="128"/>
      <c r="K140" s="128"/>
      <c r="L140" s="128"/>
      <c r="M140" s="128"/>
      <c r="N140" s="128"/>
      <c r="O140" s="128"/>
      <c r="P140" s="128"/>
      <c r="Q140" s="128"/>
      <c r="R140" s="128"/>
      <c r="S140" s="128"/>
      <c r="T140" s="128"/>
      <c r="U140" s="129"/>
      <c r="W140" s="35" t="str">
        <f>"-- "&amp;C140</f>
        <v>-- ワーク_入院退院_MML登録</v>
      </c>
    </row>
    <row r="141" spans="2:23" ht="18.75" customHeight="1">
      <c r="B141" s="43" t="s">
        <v>159</v>
      </c>
      <c r="C141" s="116" t="str">
        <f>"MMLの患者データを抽出し、"&amp;R143&amp;"テーブルに格納する。"</f>
        <v>MMLの患者データを抽出し、ワーク_入院退院_MMLテーブルに格納する。</v>
      </c>
      <c r="D141" s="117"/>
      <c r="E141" s="117"/>
      <c r="F141" s="117"/>
      <c r="G141" s="117"/>
      <c r="H141" s="117"/>
      <c r="I141" s="117"/>
      <c r="J141" s="117"/>
      <c r="K141" s="117"/>
      <c r="L141" s="117"/>
      <c r="M141" s="117"/>
      <c r="N141" s="117"/>
      <c r="O141" s="117"/>
      <c r="P141" s="117"/>
      <c r="Q141" s="117"/>
      <c r="R141" s="117"/>
      <c r="S141" s="117"/>
      <c r="T141" s="117"/>
      <c r="U141" s="118"/>
      <c r="W141" s="35" t="str">
        <f>"-- "&amp;C141</f>
        <v>-- MMLの患者データを抽出し、ワーク_入院退院_MMLテーブルに格納する。</v>
      </c>
    </row>
    <row r="143" spans="2:23" ht="18.75" customHeight="1">
      <c r="C143" s="119" t="s">
        <v>4140</v>
      </c>
      <c r="D143" s="120"/>
      <c r="E143" s="125" t="str">
        <f>エンティティ一覧!$O$2</f>
        <v>milscm_2023_007</v>
      </c>
      <c r="F143" s="36"/>
      <c r="G143" s="36"/>
      <c r="H143" s="36"/>
      <c r="I143" s="36"/>
      <c r="J143" s="36"/>
      <c r="K143" s="36"/>
      <c r="L143" s="36"/>
      <c r="M143" s="36"/>
      <c r="N143" s="36"/>
      <c r="O143" s="36"/>
      <c r="R143" s="119" t="s">
        <v>4148</v>
      </c>
      <c r="S143" s="120"/>
      <c r="T143" s="125" t="str">
        <f>エンティティ一覧!$O$2</f>
        <v>milscm_2023_007</v>
      </c>
    </row>
    <row r="144" spans="2:23" ht="18.75" customHeight="1">
      <c r="C144" s="121"/>
      <c r="D144" s="122"/>
      <c r="E144" s="126"/>
      <c r="F144" s="37"/>
      <c r="G144" s="37"/>
      <c r="H144" s="37"/>
      <c r="I144" s="37"/>
      <c r="J144" s="37"/>
      <c r="K144" s="37"/>
      <c r="L144" s="37"/>
      <c r="M144" s="37"/>
      <c r="N144" s="37"/>
      <c r="O144" s="37"/>
      <c r="P144" s="37"/>
      <c r="Q144" s="38"/>
      <c r="R144" s="121"/>
      <c r="S144" s="122"/>
      <c r="T144" s="126"/>
    </row>
    <row r="145" spans="2:23" ht="18.75" customHeight="1">
      <c r="P145" s="39"/>
      <c r="Q145" s="40"/>
    </row>
    <row r="146" spans="2:23" ht="18.75" customHeight="1">
      <c r="H146" s="119" t="s">
        <v>3745</v>
      </c>
      <c r="I146" s="120"/>
      <c r="J146" s="125" t="str">
        <f>エンティティ一覧!$O$2</f>
        <v>milscm_2023_007</v>
      </c>
      <c r="M146" s="36"/>
      <c r="N146" s="36"/>
      <c r="O146" s="36"/>
      <c r="Q146" s="41"/>
    </row>
    <row r="147" spans="2:23" ht="18.75" customHeight="1">
      <c r="H147" s="121"/>
      <c r="I147" s="122"/>
      <c r="J147" s="126"/>
      <c r="K147" s="37"/>
      <c r="L147" s="38"/>
      <c r="M147" s="37"/>
      <c r="N147" s="37"/>
      <c r="O147" s="37"/>
      <c r="P147" s="37"/>
    </row>
    <row r="148" spans="2:23" ht="18.75" customHeight="1">
      <c r="K148" s="39"/>
      <c r="L148" s="40"/>
    </row>
    <row r="149" spans="2:23" ht="18.75" customHeight="1">
      <c r="H149" s="119" t="s">
        <v>185</v>
      </c>
      <c r="I149" s="120"/>
      <c r="J149" s="125" t="str">
        <f>エンティティ一覧!$O$2</f>
        <v>milscm_2023_007</v>
      </c>
      <c r="L149" s="41"/>
    </row>
    <row r="150" spans="2:23" ht="18.75" customHeight="1">
      <c r="H150" s="121"/>
      <c r="I150" s="122"/>
      <c r="J150" s="126"/>
      <c r="K150" s="37"/>
    </row>
    <row r="152" spans="2:23" ht="18.75" customHeight="1" thickBot="1">
      <c r="B152" s="42"/>
      <c r="C152" s="42"/>
      <c r="D152" s="42"/>
      <c r="E152" s="42"/>
      <c r="F152" s="42"/>
      <c r="G152" s="42"/>
      <c r="H152" s="42"/>
      <c r="I152" s="42"/>
      <c r="J152" s="42"/>
      <c r="K152" s="42"/>
      <c r="L152" s="42"/>
      <c r="M152" s="42"/>
      <c r="N152" s="42"/>
      <c r="O152" s="42"/>
      <c r="P152" s="42"/>
      <c r="Q152" s="42"/>
      <c r="R152" s="42"/>
      <c r="S152" s="42"/>
      <c r="T152" s="42"/>
      <c r="U152" s="42"/>
    </row>
    <row r="154" spans="2:23" ht="18.75" customHeight="1">
      <c r="B154" s="43" t="s">
        <v>163</v>
      </c>
      <c r="C154" s="51" t="s">
        <v>4142</v>
      </c>
      <c r="D154" s="109"/>
      <c r="W154" s="35" t="str">
        <f>"-- "&amp;B154&amp;" : "&amp;C154</f>
        <v>-- SQL_ID : 41_08</v>
      </c>
    </row>
    <row r="155" spans="2:23" ht="18.75" customHeight="1">
      <c r="B155" s="43" t="s">
        <v>158</v>
      </c>
      <c r="C155" s="127" t="str">
        <f>R158&amp;"登録"</f>
        <v>ワーク_入院退院登録</v>
      </c>
      <c r="D155" s="128"/>
      <c r="E155" s="128"/>
      <c r="F155" s="128"/>
      <c r="G155" s="128"/>
      <c r="H155" s="128"/>
      <c r="I155" s="128"/>
      <c r="J155" s="128"/>
      <c r="K155" s="128"/>
      <c r="L155" s="128"/>
      <c r="M155" s="128"/>
      <c r="N155" s="128"/>
      <c r="O155" s="128"/>
      <c r="P155" s="128"/>
      <c r="Q155" s="128"/>
      <c r="R155" s="128"/>
      <c r="S155" s="128"/>
      <c r="T155" s="128"/>
      <c r="U155" s="129"/>
      <c r="W155" s="35" t="str">
        <f>"-- "&amp;C155</f>
        <v>-- ワーク_入院退院登録</v>
      </c>
    </row>
    <row r="156" spans="2:23" ht="18.75" customHeight="1">
      <c r="B156" s="43" t="s">
        <v>159</v>
      </c>
      <c r="C156" s="116" t="str">
        <f>"DPC、MMLの入院退院データを抽出し、"&amp;R158&amp;"テーブルに格納する。"</f>
        <v>DPC、MMLの入院退院データを抽出し、ワーク_入院退院テーブルに格納する。</v>
      </c>
      <c r="D156" s="117"/>
      <c r="E156" s="117"/>
      <c r="F156" s="117"/>
      <c r="G156" s="117"/>
      <c r="H156" s="117"/>
      <c r="I156" s="117"/>
      <c r="J156" s="117"/>
      <c r="K156" s="117"/>
      <c r="L156" s="117"/>
      <c r="M156" s="117"/>
      <c r="N156" s="117"/>
      <c r="O156" s="117"/>
      <c r="P156" s="117"/>
      <c r="Q156" s="117"/>
      <c r="R156" s="117"/>
      <c r="S156" s="117"/>
      <c r="T156" s="117"/>
      <c r="U156" s="118"/>
      <c r="W156" s="35" t="str">
        <f>"-- "&amp;C156</f>
        <v>-- DPC、MMLの入院退院データを抽出し、ワーク_入院退院テーブルに格納する。</v>
      </c>
    </row>
    <row r="158" spans="2:23" ht="18.75" customHeight="1">
      <c r="C158" s="119" t="s">
        <v>4147</v>
      </c>
      <c r="D158" s="120"/>
      <c r="E158" s="125" t="str">
        <f>エンティティ一覧!$O$2</f>
        <v>milscm_2023_007</v>
      </c>
      <c r="H158" s="36"/>
      <c r="I158" s="36"/>
      <c r="J158" s="36"/>
      <c r="K158" s="36"/>
      <c r="L158" s="36"/>
      <c r="M158" s="36"/>
      <c r="N158" s="36"/>
      <c r="O158" s="36"/>
      <c r="P158" s="36"/>
      <c r="Q158" s="36"/>
      <c r="R158" s="119" t="s">
        <v>4149</v>
      </c>
      <c r="S158" s="120"/>
      <c r="T158" s="125" t="str">
        <f>エンティティ一覧!$O$2</f>
        <v>milscm_2023_007</v>
      </c>
    </row>
    <row r="159" spans="2:23" ht="18.75" customHeight="1">
      <c r="C159" s="121"/>
      <c r="D159" s="122"/>
      <c r="E159" s="126"/>
      <c r="F159" s="37"/>
      <c r="G159" s="38"/>
      <c r="H159" s="37"/>
      <c r="I159" s="37"/>
      <c r="J159" s="37"/>
      <c r="K159" s="37"/>
      <c r="L159" s="37"/>
      <c r="M159" s="37"/>
      <c r="N159" s="37"/>
      <c r="O159" s="37"/>
      <c r="P159" s="37"/>
      <c r="Q159" s="37"/>
      <c r="R159" s="121"/>
      <c r="S159" s="122"/>
      <c r="T159" s="126"/>
    </row>
    <row r="160" spans="2:23" ht="18.75" customHeight="1">
      <c r="F160" s="39"/>
      <c r="G160" s="40"/>
    </row>
    <row r="161" spans="2:23" ht="18.75" customHeight="1">
      <c r="C161" s="119" t="s">
        <v>4150</v>
      </c>
      <c r="D161" s="120"/>
      <c r="E161" s="125" t="str">
        <f>エンティティ一覧!$O$2</f>
        <v>milscm_2023_007</v>
      </c>
      <c r="G161" s="41"/>
    </row>
    <row r="162" spans="2:23" ht="18.75" customHeight="1">
      <c r="C162" s="121"/>
      <c r="D162" s="122"/>
      <c r="E162" s="126"/>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4143</v>
      </c>
      <c r="D166" s="109"/>
      <c r="W166" s="35" t="str">
        <f>"-- "&amp;B166&amp;" : "&amp;C166</f>
        <v>-- SQL_ID : 41_09</v>
      </c>
    </row>
    <row r="167" spans="2:23" ht="18.75" customHeight="1">
      <c r="B167" s="43" t="s">
        <v>158</v>
      </c>
      <c r="C167" s="127" t="str">
        <f>R170&amp;"登録"</f>
        <v>ワーク_外来_DPC登録</v>
      </c>
      <c r="D167" s="128"/>
      <c r="E167" s="128"/>
      <c r="F167" s="128"/>
      <c r="G167" s="128"/>
      <c r="H167" s="128"/>
      <c r="I167" s="128"/>
      <c r="J167" s="128"/>
      <c r="K167" s="128"/>
      <c r="L167" s="128"/>
      <c r="M167" s="128"/>
      <c r="N167" s="128"/>
      <c r="O167" s="128"/>
      <c r="P167" s="128"/>
      <c r="Q167" s="128"/>
      <c r="R167" s="128"/>
      <c r="S167" s="128"/>
      <c r="T167" s="128"/>
      <c r="U167" s="129"/>
      <c r="W167" s="35" t="str">
        <f>"-- "&amp;C167</f>
        <v>-- ワーク_外来_DPC登録</v>
      </c>
    </row>
    <row r="168" spans="2:23" ht="18.75" customHeight="1">
      <c r="B168" s="43" t="s">
        <v>159</v>
      </c>
      <c r="C168" s="116" t="str">
        <f>"DPCの患者データを抽出し、"&amp;R170&amp;"テーブルに格納する。"</f>
        <v>DPCの患者データを抽出し、ワーク_外来_DPCテーブルに格納する。</v>
      </c>
      <c r="D168" s="117"/>
      <c r="E168" s="117"/>
      <c r="F168" s="117"/>
      <c r="G168" s="117"/>
      <c r="H168" s="117"/>
      <c r="I168" s="117"/>
      <c r="J168" s="117"/>
      <c r="K168" s="117"/>
      <c r="L168" s="117"/>
      <c r="M168" s="117"/>
      <c r="N168" s="117"/>
      <c r="O168" s="117"/>
      <c r="P168" s="117"/>
      <c r="Q168" s="117"/>
      <c r="R168" s="117"/>
      <c r="S168" s="117"/>
      <c r="T168" s="117"/>
      <c r="U168" s="118"/>
      <c r="W168" s="35" t="str">
        <f>"-- "&amp;C168</f>
        <v>-- DPCの患者データを抽出し、ワーク_外来_DPCテーブルに格納する。</v>
      </c>
    </row>
    <row r="170" spans="2:23" ht="18.75" customHeight="1">
      <c r="C170" s="119" t="s">
        <v>4146</v>
      </c>
      <c r="D170" s="120"/>
      <c r="E170" s="125" t="str">
        <f>エンティティ一覧!$O$2</f>
        <v>milscm_2023_007</v>
      </c>
      <c r="F170" s="36"/>
      <c r="G170" s="36"/>
      <c r="H170" s="36"/>
      <c r="I170" s="36"/>
      <c r="J170" s="36"/>
      <c r="K170" s="36"/>
      <c r="L170" s="36"/>
      <c r="M170" s="36"/>
      <c r="N170" s="36"/>
      <c r="O170" s="36"/>
      <c r="R170" s="119" t="s">
        <v>4144</v>
      </c>
      <c r="S170" s="120"/>
      <c r="T170" s="125" t="str">
        <f>エンティティ一覧!$O$2</f>
        <v>milscm_2023_007</v>
      </c>
    </row>
    <row r="171" spans="2:23" ht="18.75" customHeight="1">
      <c r="C171" s="121"/>
      <c r="D171" s="122"/>
      <c r="E171" s="126"/>
      <c r="F171" s="37"/>
      <c r="G171" s="37"/>
      <c r="H171" s="37"/>
      <c r="I171" s="37"/>
      <c r="J171" s="37"/>
      <c r="K171" s="37"/>
      <c r="L171" s="37"/>
      <c r="M171" s="37"/>
      <c r="N171" s="37"/>
      <c r="O171" s="37"/>
      <c r="P171" s="37"/>
      <c r="Q171" s="38"/>
      <c r="R171" s="121"/>
      <c r="S171" s="122"/>
      <c r="T171" s="126"/>
    </row>
    <row r="172" spans="2:23" ht="18.75" customHeight="1">
      <c r="P172" s="39"/>
      <c r="Q172" s="40"/>
    </row>
    <row r="173" spans="2:23" ht="18.75" customHeight="1">
      <c r="H173" s="119" t="s">
        <v>3745</v>
      </c>
      <c r="I173" s="120"/>
      <c r="J173" s="125" t="str">
        <f>エンティティ一覧!$O$2</f>
        <v>milscm_2023_007</v>
      </c>
      <c r="M173" s="36"/>
      <c r="N173" s="36"/>
      <c r="O173" s="36"/>
      <c r="Q173" s="41"/>
    </row>
    <row r="174" spans="2:23" ht="18.75" customHeight="1">
      <c r="H174" s="121"/>
      <c r="I174" s="122"/>
      <c r="J174" s="126"/>
      <c r="K174" s="37"/>
      <c r="L174" s="38"/>
      <c r="M174" s="37"/>
      <c r="N174" s="37"/>
      <c r="O174" s="37"/>
      <c r="P174" s="37"/>
    </row>
    <row r="175" spans="2:23" ht="18.75" customHeight="1">
      <c r="K175" s="39"/>
      <c r="L175" s="40"/>
    </row>
    <row r="176" spans="2:23" ht="18.75" customHeight="1">
      <c r="H176" s="119" t="s">
        <v>185</v>
      </c>
      <c r="I176" s="120"/>
      <c r="J176" s="125" t="str">
        <f>エンティティ一覧!$O$2</f>
        <v>milscm_2023_007</v>
      </c>
      <c r="L176" s="41"/>
    </row>
    <row r="177" spans="2:23" ht="18.75" customHeight="1">
      <c r="H177" s="121"/>
      <c r="I177" s="122"/>
      <c r="J177" s="126"/>
      <c r="K177" s="37"/>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4151</v>
      </c>
      <c r="D181" s="109"/>
      <c r="W181" s="35" t="str">
        <f>"-- "&amp;B181&amp;" : "&amp;C181</f>
        <v>-- SQL_ID : 41_10</v>
      </c>
    </row>
    <row r="182" spans="2:23" ht="18.75" customHeight="1">
      <c r="B182" s="43" t="s">
        <v>158</v>
      </c>
      <c r="C182" s="127" t="str">
        <f>R185&amp;"登録"</f>
        <v>ワーク_外来_MML登録</v>
      </c>
      <c r="D182" s="128"/>
      <c r="E182" s="128"/>
      <c r="F182" s="128"/>
      <c r="G182" s="128"/>
      <c r="H182" s="128"/>
      <c r="I182" s="128"/>
      <c r="J182" s="128"/>
      <c r="K182" s="128"/>
      <c r="L182" s="128"/>
      <c r="M182" s="128"/>
      <c r="N182" s="128"/>
      <c r="O182" s="128"/>
      <c r="P182" s="128"/>
      <c r="Q182" s="128"/>
      <c r="R182" s="128"/>
      <c r="S182" s="128"/>
      <c r="T182" s="128"/>
      <c r="U182" s="129"/>
      <c r="W182" s="35" t="str">
        <f>"-- "&amp;C182</f>
        <v>-- ワーク_外来_MML登録</v>
      </c>
    </row>
    <row r="183" spans="2:23" ht="18.75" customHeight="1">
      <c r="B183" s="43" t="s">
        <v>159</v>
      </c>
      <c r="C183" s="116" t="str">
        <f>"MMLの患者データを抽出し、"&amp;R185&amp;"テーブルに格納する。"</f>
        <v>MMLの患者データを抽出し、ワーク_外来_MMLテーブルに格納する。</v>
      </c>
      <c r="D183" s="117"/>
      <c r="E183" s="117"/>
      <c r="F183" s="117"/>
      <c r="G183" s="117"/>
      <c r="H183" s="117"/>
      <c r="I183" s="117"/>
      <c r="J183" s="117"/>
      <c r="K183" s="117"/>
      <c r="L183" s="117"/>
      <c r="M183" s="117"/>
      <c r="N183" s="117"/>
      <c r="O183" s="117"/>
      <c r="P183" s="117"/>
      <c r="Q183" s="117"/>
      <c r="R183" s="117"/>
      <c r="S183" s="117"/>
      <c r="T183" s="117"/>
      <c r="U183" s="118"/>
      <c r="W183" s="35" t="str">
        <f>"-- "&amp;C183</f>
        <v>-- MMLの患者データを抽出し、ワーク_外来_MMLテーブルに格納する。</v>
      </c>
    </row>
    <row r="185" spans="2:23" ht="18.75" customHeight="1">
      <c r="C185" s="119" t="s">
        <v>4141</v>
      </c>
      <c r="D185" s="120"/>
      <c r="E185" s="125" t="str">
        <f>エンティティ一覧!$O$2</f>
        <v>milscm_2023_007</v>
      </c>
      <c r="F185" s="36"/>
      <c r="G185" s="36"/>
      <c r="H185" s="36"/>
      <c r="I185" s="36"/>
      <c r="J185" s="36"/>
      <c r="K185" s="36"/>
      <c r="L185" s="36"/>
      <c r="M185" s="36"/>
      <c r="N185" s="36"/>
      <c r="O185" s="36"/>
      <c r="R185" s="119" t="s">
        <v>4145</v>
      </c>
      <c r="S185" s="120"/>
      <c r="T185" s="125" t="str">
        <f>エンティティ一覧!$O$2</f>
        <v>milscm_2023_007</v>
      </c>
    </row>
    <row r="186" spans="2:23" ht="18.75" customHeight="1">
      <c r="C186" s="121"/>
      <c r="D186" s="122"/>
      <c r="E186" s="126"/>
      <c r="F186" s="37"/>
      <c r="G186" s="37"/>
      <c r="H186" s="37"/>
      <c r="I186" s="37"/>
      <c r="J186" s="37"/>
      <c r="K186" s="37"/>
      <c r="L186" s="37"/>
      <c r="M186" s="37"/>
      <c r="N186" s="37"/>
      <c r="O186" s="37"/>
      <c r="P186" s="37"/>
      <c r="Q186" s="38"/>
      <c r="R186" s="121"/>
      <c r="S186" s="122"/>
      <c r="T186" s="126"/>
    </row>
    <row r="187" spans="2:23" ht="18.75" customHeight="1">
      <c r="P187" s="39"/>
      <c r="Q187" s="40"/>
    </row>
    <row r="188" spans="2:23" ht="18.75" customHeight="1">
      <c r="H188" s="119" t="s">
        <v>3745</v>
      </c>
      <c r="I188" s="120"/>
      <c r="J188" s="125" t="str">
        <f>エンティティ一覧!$O$2</f>
        <v>milscm_2023_007</v>
      </c>
      <c r="M188" s="36"/>
      <c r="N188" s="36"/>
      <c r="O188" s="36"/>
      <c r="Q188" s="41"/>
    </row>
    <row r="189" spans="2:23" ht="18.75" customHeight="1">
      <c r="H189" s="121"/>
      <c r="I189" s="122"/>
      <c r="J189" s="126"/>
      <c r="K189" s="37"/>
      <c r="L189" s="38"/>
      <c r="M189" s="37"/>
      <c r="N189" s="37"/>
      <c r="O189" s="37"/>
      <c r="P189" s="37"/>
    </row>
    <row r="190" spans="2:23" ht="18.75" customHeight="1">
      <c r="K190" s="39"/>
      <c r="L190" s="40"/>
    </row>
    <row r="191" spans="2:23" ht="18.75" customHeight="1">
      <c r="H191" s="119" t="s">
        <v>185</v>
      </c>
      <c r="I191" s="120"/>
      <c r="J191" s="125" t="str">
        <f>エンティティ一覧!$O$2</f>
        <v>milscm_2023_007</v>
      </c>
      <c r="L191" s="41"/>
    </row>
    <row r="192" spans="2:23" ht="18.75" customHeight="1">
      <c r="H192" s="121"/>
      <c r="I192" s="122"/>
      <c r="J192" s="126"/>
      <c r="K192" s="37"/>
    </row>
    <row r="194" spans="2:23" ht="18.75" customHeight="1" thickBot="1">
      <c r="B194" s="42"/>
      <c r="C194" s="42"/>
      <c r="D194" s="42"/>
      <c r="E194" s="42"/>
      <c r="F194" s="42"/>
      <c r="G194" s="42"/>
      <c r="H194" s="42"/>
      <c r="I194" s="42"/>
      <c r="J194" s="42"/>
      <c r="K194" s="42"/>
      <c r="L194" s="42"/>
      <c r="M194" s="42"/>
      <c r="N194" s="42"/>
      <c r="O194" s="42"/>
      <c r="P194" s="42"/>
      <c r="Q194" s="42"/>
      <c r="R194" s="42"/>
      <c r="S194" s="42"/>
      <c r="T194" s="42"/>
      <c r="U194" s="42"/>
    </row>
    <row r="196" spans="2:23" ht="18.75" customHeight="1">
      <c r="B196" s="43" t="s">
        <v>163</v>
      </c>
      <c r="C196" s="51" t="s">
        <v>4152</v>
      </c>
      <c r="D196" s="109"/>
      <c r="W196" s="35" t="str">
        <f>"-- "&amp;B196&amp;" : "&amp;C196</f>
        <v>-- SQL_ID : 41_11</v>
      </c>
    </row>
    <row r="197" spans="2:23" ht="18.75" customHeight="1">
      <c r="B197" s="43" t="s">
        <v>158</v>
      </c>
      <c r="C197" s="127" t="str">
        <f>R200&amp;"登録"</f>
        <v>ワーク_外来登録</v>
      </c>
      <c r="D197" s="128"/>
      <c r="E197" s="128"/>
      <c r="F197" s="128"/>
      <c r="G197" s="128"/>
      <c r="H197" s="128"/>
      <c r="I197" s="128"/>
      <c r="J197" s="128"/>
      <c r="K197" s="128"/>
      <c r="L197" s="128"/>
      <c r="M197" s="128"/>
      <c r="N197" s="128"/>
      <c r="O197" s="128"/>
      <c r="P197" s="128"/>
      <c r="Q197" s="128"/>
      <c r="R197" s="128"/>
      <c r="S197" s="128"/>
      <c r="T197" s="128"/>
      <c r="U197" s="129"/>
      <c r="W197" s="35" t="str">
        <f>"-- "&amp;C197</f>
        <v>-- ワーク_外来登録</v>
      </c>
    </row>
    <row r="198" spans="2:23" ht="18.75" customHeight="1">
      <c r="B198" s="43" t="s">
        <v>159</v>
      </c>
      <c r="C198" s="116" t="str">
        <f>"DPC、MMLの外来データを抽出し、"&amp;R200&amp;"テーブルに格納する。"</f>
        <v>DPC、MMLの外来データを抽出し、ワーク_外来テーブルに格納する。</v>
      </c>
      <c r="D198" s="117"/>
      <c r="E198" s="117"/>
      <c r="F198" s="117"/>
      <c r="G198" s="117"/>
      <c r="H198" s="117"/>
      <c r="I198" s="117"/>
      <c r="J198" s="117"/>
      <c r="K198" s="117"/>
      <c r="L198" s="117"/>
      <c r="M198" s="117"/>
      <c r="N198" s="117"/>
      <c r="O198" s="117"/>
      <c r="P198" s="117"/>
      <c r="Q198" s="117"/>
      <c r="R198" s="117"/>
      <c r="S198" s="117"/>
      <c r="T198" s="117"/>
      <c r="U198" s="118"/>
      <c r="W198" s="35" t="str">
        <f>"-- "&amp;C198</f>
        <v>-- DPC、MMLの外来データを抽出し、ワーク_外来テーブルに格納する。</v>
      </c>
    </row>
    <row r="200" spans="2:23" ht="18.75" customHeight="1">
      <c r="C200" s="119" t="s">
        <v>4144</v>
      </c>
      <c r="D200" s="120"/>
      <c r="E200" s="125" t="str">
        <f>エンティティ一覧!$O$2</f>
        <v>milscm_2023_007</v>
      </c>
      <c r="H200" s="36"/>
      <c r="I200" s="36"/>
      <c r="J200" s="36"/>
      <c r="K200" s="36"/>
      <c r="L200" s="36"/>
      <c r="M200" s="36"/>
      <c r="N200" s="36"/>
      <c r="O200" s="36"/>
      <c r="P200" s="36"/>
      <c r="Q200" s="36"/>
      <c r="R200" s="119" t="s">
        <v>4154</v>
      </c>
      <c r="S200" s="120"/>
      <c r="T200" s="125" t="str">
        <f>エンティティ一覧!$O$2</f>
        <v>milscm_2023_007</v>
      </c>
    </row>
    <row r="201" spans="2:23" ht="18.75" customHeight="1">
      <c r="C201" s="121"/>
      <c r="D201" s="122"/>
      <c r="E201" s="126"/>
      <c r="F201" s="37"/>
      <c r="G201" s="38"/>
      <c r="H201" s="37"/>
      <c r="I201" s="37"/>
      <c r="J201" s="37"/>
      <c r="K201" s="37"/>
      <c r="L201" s="37"/>
      <c r="M201" s="37"/>
      <c r="N201" s="37"/>
      <c r="O201" s="37"/>
      <c r="P201" s="37"/>
      <c r="Q201" s="37"/>
      <c r="R201" s="121"/>
      <c r="S201" s="122"/>
      <c r="T201" s="126"/>
    </row>
    <row r="202" spans="2:23" ht="18.75" customHeight="1">
      <c r="F202" s="39"/>
      <c r="G202" s="40"/>
    </row>
    <row r="203" spans="2:23" ht="18.75" customHeight="1">
      <c r="C203" s="119" t="s">
        <v>4145</v>
      </c>
      <c r="D203" s="120"/>
      <c r="E203" s="125" t="str">
        <f>エンティティ一覧!$O$2</f>
        <v>milscm_2023_007</v>
      </c>
      <c r="G203" s="41"/>
    </row>
    <row r="204" spans="2:23" ht="18.75" customHeight="1">
      <c r="C204" s="121"/>
      <c r="D204" s="122"/>
      <c r="E204" s="126"/>
      <c r="F204" s="37"/>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4153</v>
      </c>
      <c r="D208" s="108"/>
      <c r="W208" s="35" t="str">
        <f>"-- "&amp;B208&amp;" : "&amp;C208</f>
        <v>-- SQL_ID : 41_12</v>
      </c>
    </row>
    <row r="209" spans="2:23" ht="18.75" customHeight="1">
      <c r="B209" s="43" t="s">
        <v>158</v>
      </c>
      <c r="C209" s="127" t="str">
        <f>R212&amp;"登録"</f>
        <v>ワーク_処方データ_DPC登録</v>
      </c>
      <c r="D209" s="128"/>
      <c r="E209" s="128"/>
      <c r="F209" s="128"/>
      <c r="G209" s="128"/>
      <c r="H209" s="128"/>
      <c r="I209" s="128"/>
      <c r="J209" s="128"/>
      <c r="K209" s="128"/>
      <c r="L209" s="128"/>
      <c r="M209" s="128"/>
      <c r="N209" s="128"/>
      <c r="O209" s="128"/>
      <c r="P209" s="128"/>
      <c r="Q209" s="128"/>
      <c r="R209" s="128"/>
      <c r="S209" s="128"/>
      <c r="T209" s="128"/>
      <c r="U209" s="129"/>
      <c r="W209" s="35" t="str">
        <f>"-- "&amp;C209</f>
        <v>-- ワーク_処方データ_DPC登録</v>
      </c>
    </row>
    <row r="210" spans="2:23" ht="18.75" customHeight="1">
      <c r="B210" s="43" t="s">
        <v>159</v>
      </c>
      <c r="C210" s="116" t="str">
        <f>"処方（DPC）データを抽出し、"&amp;R212&amp;"テーブルに格納する。"</f>
        <v>処方（DPC）データを抽出し、ワーク_処方データ_DPCテーブルに格納する。</v>
      </c>
      <c r="D210" s="117"/>
      <c r="E210" s="117"/>
      <c r="F210" s="117"/>
      <c r="G210" s="117"/>
      <c r="H210" s="117"/>
      <c r="I210" s="117"/>
      <c r="J210" s="117"/>
      <c r="K210" s="117"/>
      <c r="L210" s="117"/>
      <c r="M210" s="117"/>
      <c r="N210" s="117"/>
      <c r="O210" s="117"/>
      <c r="P210" s="117"/>
      <c r="Q210" s="117"/>
      <c r="R210" s="117"/>
      <c r="S210" s="117"/>
      <c r="T210" s="117"/>
      <c r="U210" s="118"/>
      <c r="W210" s="35" t="str">
        <f>"-- "&amp;C210</f>
        <v>-- 処方（DPC）データを抽出し、ワーク_処方データ_DPCテーブルに格納する。</v>
      </c>
    </row>
    <row r="212" spans="2:23" ht="18.75" customHeight="1">
      <c r="C212" s="119" t="s">
        <v>4132</v>
      </c>
      <c r="D212" s="120"/>
      <c r="E212" s="125" t="str">
        <f>エンティティ一覧!$O$2</f>
        <v>milscm_2023_007</v>
      </c>
      <c r="F212" s="36"/>
      <c r="G212" s="36"/>
      <c r="H212" s="36"/>
      <c r="I212" s="36"/>
      <c r="J212" s="36"/>
      <c r="M212" s="36"/>
      <c r="N212" s="36"/>
      <c r="O212" s="36"/>
      <c r="R212" s="119" t="s">
        <v>4155</v>
      </c>
      <c r="S212" s="120"/>
      <c r="T212" s="125" t="str">
        <f>エンティティ一覧!$O$2</f>
        <v>milscm_2023_007</v>
      </c>
    </row>
    <row r="213" spans="2:23" ht="18.75" customHeight="1">
      <c r="C213" s="121"/>
      <c r="D213" s="122"/>
      <c r="E213" s="126"/>
      <c r="F213" s="37"/>
      <c r="G213" s="37"/>
      <c r="H213" s="37"/>
      <c r="I213" s="37"/>
      <c r="J213" s="37"/>
      <c r="K213" s="37"/>
      <c r="L213" s="38"/>
      <c r="M213" s="37"/>
      <c r="N213" s="37"/>
      <c r="O213" s="37"/>
      <c r="P213" s="37"/>
      <c r="Q213" s="38"/>
      <c r="R213" s="121"/>
      <c r="S213" s="122"/>
      <c r="T213" s="126"/>
    </row>
    <row r="214" spans="2:23" ht="18.75" customHeight="1">
      <c r="K214" s="39"/>
      <c r="L214" s="40"/>
      <c r="P214" s="39"/>
      <c r="Q214" s="40"/>
    </row>
    <row r="215" spans="2:23" ht="18.75" customHeight="1">
      <c r="H215" s="119" t="s">
        <v>3870</v>
      </c>
      <c r="I215" s="120"/>
      <c r="J215" s="125" t="str">
        <f>エンティティ一覧!$O$2</f>
        <v>milscm_2023_007</v>
      </c>
      <c r="L215" s="41"/>
      <c r="P215" s="39"/>
      <c r="Q215" s="40"/>
    </row>
    <row r="216" spans="2:23" ht="18.75" customHeight="1">
      <c r="H216" s="121"/>
      <c r="I216" s="122"/>
      <c r="J216" s="126"/>
      <c r="K216" s="37"/>
      <c r="P216" s="39"/>
      <c r="Q216" s="40"/>
    </row>
    <row r="217" spans="2:23" ht="18.75" customHeight="1">
      <c r="P217" s="39"/>
      <c r="Q217" s="40"/>
    </row>
    <row r="218" spans="2:23" ht="18.75" customHeight="1">
      <c r="H218" s="119" t="s">
        <v>3745</v>
      </c>
      <c r="I218" s="120"/>
      <c r="J218" s="125" t="str">
        <f>エンティティ一覧!$O$2</f>
        <v>milscm_2023_007</v>
      </c>
      <c r="M218" s="36"/>
      <c r="N218" s="36"/>
      <c r="O218" s="36"/>
      <c r="Q218" s="41"/>
    </row>
    <row r="219" spans="2:23" ht="18.75" customHeight="1">
      <c r="H219" s="121"/>
      <c r="I219" s="122"/>
      <c r="J219" s="126"/>
      <c r="K219" s="37"/>
      <c r="L219" s="38"/>
      <c r="M219" s="37"/>
      <c r="N219" s="37"/>
      <c r="O219" s="37"/>
      <c r="P219" s="37"/>
    </row>
    <row r="220" spans="2:23" ht="18.75" customHeight="1">
      <c r="K220" s="39"/>
      <c r="L220" s="40"/>
    </row>
    <row r="221" spans="2:23" ht="18.75" customHeight="1">
      <c r="H221" s="119" t="s">
        <v>185</v>
      </c>
      <c r="I221" s="120"/>
      <c r="J221" s="125" t="str">
        <f>エンティティ一覧!$O$2</f>
        <v>milscm_2023_007</v>
      </c>
      <c r="L221" s="41"/>
    </row>
    <row r="222" spans="2:23" ht="18.75" customHeight="1">
      <c r="H222" s="121"/>
      <c r="I222" s="122"/>
      <c r="J222" s="126"/>
      <c r="K222" s="37"/>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4156</v>
      </c>
      <c r="D226" s="109"/>
      <c r="W226" s="35" t="str">
        <f>"-- "&amp;B226&amp;" : "&amp;C226</f>
        <v>-- SQL_ID : 41_13</v>
      </c>
    </row>
    <row r="227" spans="2:23" ht="18.75" customHeight="1">
      <c r="B227" s="43" t="s">
        <v>158</v>
      </c>
      <c r="C227" s="127" t="str">
        <f>R230&amp;"登録"</f>
        <v>ワーク_処方データ_MML登録</v>
      </c>
      <c r="D227" s="128"/>
      <c r="E227" s="128"/>
      <c r="F227" s="128"/>
      <c r="G227" s="128"/>
      <c r="H227" s="128"/>
      <c r="I227" s="128"/>
      <c r="J227" s="128"/>
      <c r="K227" s="128"/>
      <c r="L227" s="128"/>
      <c r="M227" s="128"/>
      <c r="N227" s="128"/>
      <c r="O227" s="128"/>
      <c r="P227" s="128"/>
      <c r="Q227" s="128"/>
      <c r="R227" s="128"/>
      <c r="S227" s="128"/>
      <c r="T227" s="128"/>
      <c r="U227" s="129"/>
      <c r="W227" s="35" t="str">
        <f>"-- "&amp;C227</f>
        <v>-- ワーク_処方データ_MML登録</v>
      </c>
    </row>
    <row r="228" spans="2:23" ht="18.75" customHeight="1">
      <c r="B228" s="43" t="s">
        <v>159</v>
      </c>
      <c r="C228" s="116" t="str">
        <f>"処方（MML）データを抽出し、"&amp;R230&amp;"テーブルに格納する。"</f>
        <v>処方（MML）データを抽出し、ワーク_処方データ_MMLテーブルに格納する。</v>
      </c>
      <c r="D228" s="117"/>
      <c r="E228" s="117"/>
      <c r="F228" s="117"/>
      <c r="G228" s="117"/>
      <c r="H228" s="117"/>
      <c r="I228" s="117"/>
      <c r="J228" s="117"/>
      <c r="K228" s="117"/>
      <c r="L228" s="117"/>
      <c r="M228" s="117"/>
      <c r="N228" s="117"/>
      <c r="O228" s="117"/>
      <c r="P228" s="117"/>
      <c r="Q228" s="117"/>
      <c r="R228" s="117"/>
      <c r="S228" s="117"/>
      <c r="T228" s="117"/>
      <c r="U228" s="118"/>
      <c r="W228" s="35" t="str">
        <f>"-- "&amp;C228</f>
        <v>-- 処方（MML）データを抽出し、ワーク_処方データ_MMLテーブルに格納する。</v>
      </c>
    </row>
    <row r="230" spans="2:23" ht="18.75" customHeight="1">
      <c r="C230" s="119" t="s">
        <v>3716</v>
      </c>
      <c r="D230" s="120"/>
      <c r="E230" s="125" t="str">
        <f>エンティティ一覧!$O$2</f>
        <v>milscm_2023_007</v>
      </c>
      <c r="F230" s="36"/>
      <c r="G230" s="36"/>
      <c r="H230" s="36"/>
      <c r="I230" s="36"/>
      <c r="J230" s="36"/>
      <c r="M230" s="36"/>
      <c r="N230" s="36"/>
      <c r="O230" s="36"/>
      <c r="R230" s="119" t="s">
        <v>4157</v>
      </c>
      <c r="S230" s="120"/>
      <c r="T230" s="125" t="str">
        <f>エンティティ一覧!$O$2</f>
        <v>milscm_2023_007</v>
      </c>
    </row>
    <row r="231" spans="2:23" ht="18.75" customHeight="1">
      <c r="C231" s="121"/>
      <c r="D231" s="122"/>
      <c r="E231" s="126"/>
      <c r="F231" s="37"/>
      <c r="G231" s="37"/>
      <c r="H231" s="37"/>
      <c r="I231" s="37"/>
      <c r="J231" s="37"/>
      <c r="K231" s="37"/>
      <c r="L231" s="38"/>
      <c r="M231" s="37"/>
      <c r="N231" s="37"/>
      <c r="O231" s="37"/>
      <c r="P231" s="37"/>
      <c r="Q231" s="38"/>
      <c r="R231" s="121"/>
      <c r="S231" s="122"/>
      <c r="T231" s="126"/>
    </row>
    <row r="232" spans="2:23" ht="18.75" customHeight="1">
      <c r="K232" s="39"/>
      <c r="L232" s="40"/>
      <c r="P232" s="39"/>
      <c r="Q232" s="40"/>
    </row>
    <row r="233" spans="2:23" ht="18.75" customHeight="1">
      <c r="H233" s="119" t="s">
        <v>4136</v>
      </c>
      <c r="I233" s="120"/>
      <c r="J233" s="125" t="str">
        <f>エンティティ一覧!$O$2</f>
        <v>milscm_2023_007</v>
      </c>
      <c r="L233" s="41"/>
      <c r="P233" s="39"/>
      <c r="Q233" s="40"/>
    </row>
    <row r="234" spans="2:23" ht="18.75" customHeight="1">
      <c r="H234" s="121"/>
      <c r="I234" s="122"/>
      <c r="J234" s="126"/>
      <c r="K234" s="37"/>
      <c r="P234" s="39"/>
      <c r="Q234" s="40"/>
    </row>
    <row r="235" spans="2:23" ht="18.75" customHeight="1">
      <c r="P235" s="39"/>
      <c r="Q235" s="40"/>
    </row>
    <row r="236" spans="2:23" ht="18.75" customHeight="1">
      <c r="H236" s="119" t="s">
        <v>3745</v>
      </c>
      <c r="I236" s="120"/>
      <c r="J236" s="125" t="str">
        <f>エンティティ一覧!$O$2</f>
        <v>milscm_2023_007</v>
      </c>
      <c r="M236" s="36"/>
      <c r="N236" s="36"/>
      <c r="O236" s="36"/>
      <c r="Q236" s="41"/>
    </row>
    <row r="237" spans="2:23" ht="18.75" customHeight="1">
      <c r="H237" s="121"/>
      <c r="I237" s="122"/>
      <c r="J237" s="126"/>
      <c r="K237" s="37"/>
      <c r="L237" s="38"/>
      <c r="M237" s="37"/>
      <c r="N237" s="37"/>
      <c r="O237" s="37"/>
      <c r="P237" s="37"/>
    </row>
    <row r="238" spans="2:23" ht="18.75" customHeight="1">
      <c r="K238" s="39"/>
      <c r="L238" s="40"/>
    </row>
    <row r="239" spans="2:23" ht="18.75" customHeight="1">
      <c r="H239" s="119" t="s">
        <v>185</v>
      </c>
      <c r="I239" s="120"/>
      <c r="J239" s="125" t="str">
        <f>エンティティ一覧!$O$2</f>
        <v>milscm_2023_007</v>
      </c>
      <c r="L239" s="41"/>
    </row>
    <row r="240" spans="2:23" ht="18.75" customHeight="1">
      <c r="H240" s="121"/>
      <c r="I240" s="122"/>
      <c r="J240" s="126"/>
      <c r="K240" s="37"/>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4170</v>
      </c>
      <c r="D244" s="109"/>
      <c r="W244" s="35" t="str">
        <f>"-- "&amp;B244&amp;" : "&amp;C244</f>
        <v>-- SQL_ID : 41_14</v>
      </c>
    </row>
    <row r="245" spans="2:23" ht="18.75" customHeight="1">
      <c r="B245" s="43" t="s">
        <v>158</v>
      </c>
      <c r="C245" s="127" t="str">
        <f>R248&amp;"登録"</f>
        <v>ワーク_診療行為データ登録</v>
      </c>
      <c r="D245" s="128"/>
      <c r="E245" s="128"/>
      <c r="F245" s="128"/>
      <c r="G245" s="128"/>
      <c r="H245" s="128"/>
      <c r="I245" s="128"/>
      <c r="J245" s="128"/>
      <c r="K245" s="128"/>
      <c r="L245" s="128"/>
      <c r="M245" s="128"/>
      <c r="N245" s="128"/>
      <c r="O245" s="128"/>
      <c r="P245" s="128"/>
      <c r="Q245" s="128"/>
      <c r="R245" s="128"/>
      <c r="S245" s="128"/>
      <c r="T245" s="128"/>
      <c r="U245" s="129"/>
      <c r="W245" s="35" t="str">
        <f>"-- "&amp;C245</f>
        <v>-- ワーク_診療行為データ登録</v>
      </c>
    </row>
    <row r="246" spans="2:23" ht="18.75" customHeight="1">
      <c r="B246" s="43" t="s">
        <v>159</v>
      </c>
      <c r="C246" s="116" t="str">
        <f>"診療行為データを抽出し、"&amp;R248&amp;"テーブルに格納する。"</f>
        <v>診療行為データを抽出し、ワーク_診療行為データテーブルに格納する。</v>
      </c>
      <c r="D246" s="117"/>
      <c r="E246" s="117"/>
      <c r="F246" s="117"/>
      <c r="G246" s="117"/>
      <c r="H246" s="117"/>
      <c r="I246" s="117"/>
      <c r="J246" s="117"/>
      <c r="K246" s="117"/>
      <c r="L246" s="117"/>
      <c r="M246" s="117"/>
      <c r="N246" s="117"/>
      <c r="O246" s="117"/>
      <c r="P246" s="117"/>
      <c r="Q246" s="117"/>
      <c r="R246" s="117"/>
      <c r="S246" s="117"/>
      <c r="T246" s="117"/>
      <c r="U246" s="118"/>
      <c r="W246" s="35" t="str">
        <f>"-- "&amp;C246</f>
        <v>-- 診療行為データを抽出し、ワーク_診療行為データテーブルに格納する。</v>
      </c>
    </row>
    <row r="248" spans="2:23" ht="18.75" customHeight="1">
      <c r="C248" s="119" t="s">
        <v>3709</v>
      </c>
      <c r="D248" s="120"/>
      <c r="E248" s="125" t="str">
        <f>エンティティ一覧!$O$2</f>
        <v>milscm_2023_007</v>
      </c>
      <c r="F248" s="36"/>
      <c r="G248" s="36"/>
      <c r="H248" s="36"/>
      <c r="I248" s="36"/>
      <c r="J248" s="36"/>
      <c r="M248" s="36"/>
      <c r="N248" s="36"/>
      <c r="O248" s="36"/>
      <c r="R248" s="119" t="s">
        <v>4171</v>
      </c>
      <c r="S248" s="120"/>
      <c r="T248" s="125" t="str">
        <f>エンティティ一覧!$O$2</f>
        <v>milscm_2023_007</v>
      </c>
    </row>
    <row r="249" spans="2:23" ht="18.75" customHeight="1">
      <c r="C249" s="121"/>
      <c r="D249" s="122"/>
      <c r="E249" s="126"/>
      <c r="F249" s="37"/>
      <c r="G249" s="37"/>
      <c r="H249" s="37"/>
      <c r="I249" s="37"/>
      <c r="J249" s="37"/>
      <c r="K249" s="37"/>
      <c r="L249" s="38"/>
      <c r="M249" s="37"/>
      <c r="N249" s="37"/>
      <c r="O249" s="37"/>
      <c r="P249" s="37"/>
      <c r="Q249" s="38"/>
      <c r="R249" s="121"/>
      <c r="S249" s="122"/>
      <c r="T249" s="126"/>
    </row>
    <row r="250" spans="2:23" ht="18.75" customHeight="1">
      <c r="K250" s="39"/>
      <c r="L250" s="40"/>
      <c r="P250" s="39"/>
      <c r="Q250" s="40"/>
    </row>
    <row r="251" spans="2:23" ht="18.75" customHeight="1">
      <c r="H251" s="119" t="s">
        <v>4173</v>
      </c>
      <c r="I251" s="120"/>
      <c r="J251" s="125" t="str">
        <f>エンティティ一覧!$O$2</f>
        <v>milscm_2023_007</v>
      </c>
      <c r="L251" s="41"/>
      <c r="P251" s="39"/>
      <c r="Q251" s="40"/>
    </row>
    <row r="252" spans="2:23" ht="18.75" customHeight="1">
      <c r="H252" s="121"/>
      <c r="I252" s="122"/>
      <c r="J252" s="126"/>
      <c r="K252" s="37"/>
      <c r="P252" s="39"/>
      <c r="Q252" s="40"/>
    </row>
    <row r="253" spans="2:23" ht="18.75" customHeight="1">
      <c r="P253" s="39"/>
      <c r="Q253" s="40"/>
    </row>
    <row r="254" spans="2:23" ht="18.75" customHeight="1">
      <c r="H254" s="119" t="s">
        <v>3745</v>
      </c>
      <c r="I254" s="120"/>
      <c r="J254" s="125" t="str">
        <f>エンティティ一覧!$O$2</f>
        <v>milscm_2023_007</v>
      </c>
      <c r="M254" s="36"/>
      <c r="N254" s="36"/>
      <c r="O254" s="36"/>
      <c r="Q254" s="41"/>
    </row>
    <row r="255" spans="2:23" ht="18.75" customHeight="1">
      <c r="H255" s="121"/>
      <c r="I255" s="122"/>
      <c r="J255" s="126"/>
      <c r="K255" s="37"/>
      <c r="L255" s="38"/>
      <c r="M255" s="37"/>
      <c r="N255" s="37"/>
      <c r="O255" s="37"/>
      <c r="P255" s="37"/>
    </row>
    <row r="256" spans="2:23" ht="18.75" customHeight="1">
      <c r="K256" s="39"/>
      <c r="L256" s="40"/>
    </row>
    <row r="257" spans="2:23" ht="18.75" customHeight="1">
      <c r="H257" s="119" t="s">
        <v>185</v>
      </c>
      <c r="I257" s="120"/>
      <c r="J257" s="125" t="str">
        <f>エンティティ一覧!$O$2</f>
        <v>milscm_2023_007</v>
      </c>
      <c r="L257" s="41"/>
    </row>
    <row r="258" spans="2:23" ht="18.75" customHeight="1">
      <c r="H258" s="121"/>
      <c r="I258" s="122"/>
      <c r="J258" s="126"/>
      <c r="K258" s="37"/>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4178</v>
      </c>
      <c r="D262" s="109"/>
      <c r="W262" s="35" t="str">
        <f>"-- "&amp;B262&amp;" : "&amp;C262</f>
        <v>-- SQL_ID : 41_15</v>
      </c>
    </row>
    <row r="263" spans="2:23" ht="18.75" customHeight="1">
      <c r="B263" s="43" t="s">
        <v>158</v>
      </c>
      <c r="C263" s="127" t="str">
        <f>R266&amp;"登録"</f>
        <v>ワーク_検体検査データ_スキーマ2登録</v>
      </c>
      <c r="D263" s="128"/>
      <c r="E263" s="128"/>
      <c r="F263" s="128"/>
      <c r="G263" s="128"/>
      <c r="H263" s="128"/>
      <c r="I263" s="128"/>
      <c r="J263" s="128"/>
      <c r="K263" s="128"/>
      <c r="L263" s="128"/>
      <c r="M263" s="128"/>
      <c r="N263" s="128"/>
      <c r="O263" s="128"/>
      <c r="P263" s="128"/>
      <c r="Q263" s="128"/>
      <c r="R263" s="128"/>
      <c r="S263" s="128"/>
      <c r="T263" s="128"/>
      <c r="U263" s="129"/>
      <c r="W263" s="35" t="str">
        <f>"-- "&amp;C263</f>
        <v>-- ワーク_検体検査データ_スキーマ2登録</v>
      </c>
    </row>
    <row r="264" spans="2:23" ht="18.75" customHeight="1">
      <c r="B264" s="43" t="s">
        <v>159</v>
      </c>
      <c r="C264" s="116" t="str">
        <f>"MMLの検体検査データを抽出し、"&amp;R266&amp;"テーブルに格納する。"</f>
        <v>MMLの検体検査データを抽出し、ワーク_検体検査データ_スキーマ2テーブルに格納する。</v>
      </c>
      <c r="D264" s="117"/>
      <c r="E264" s="117"/>
      <c r="F264" s="117"/>
      <c r="G264" s="117"/>
      <c r="H264" s="117"/>
      <c r="I264" s="117"/>
      <c r="J264" s="117"/>
      <c r="K264" s="117"/>
      <c r="L264" s="117"/>
      <c r="M264" s="117"/>
      <c r="N264" s="117"/>
      <c r="O264" s="117"/>
      <c r="P264" s="117"/>
      <c r="Q264" s="117"/>
      <c r="R264" s="117"/>
      <c r="S264" s="117"/>
      <c r="T264" s="117"/>
      <c r="U264" s="118"/>
      <c r="W264" s="35" t="str">
        <f>"-- "&amp;C264</f>
        <v>-- MMLの検体検査データを抽出し、ワーク_検体検査データ_スキーマ2テーブルに格納する。</v>
      </c>
    </row>
    <row r="266" spans="2:23" ht="18.75" customHeight="1">
      <c r="C266" s="119" t="s">
        <v>3705</v>
      </c>
      <c r="D266" s="120"/>
      <c r="E266" s="125" t="str">
        <f>エンティティ一覧!$O$2</f>
        <v>milscm_2023_007</v>
      </c>
      <c r="F266" s="36"/>
      <c r="G266" s="36"/>
      <c r="H266" s="36"/>
      <c r="I266" s="36"/>
      <c r="J266" s="36"/>
      <c r="K266" s="36"/>
      <c r="L266" s="36"/>
      <c r="R266" s="119" t="s">
        <v>4187</v>
      </c>
      <c r="S266" s="120"/>
      <c r="T266" s="125" t="str">
        <f>エンティティ一覧!$O$2</f>
        <v>milscm_2023_007</v>
      </c>
    </row>
    <row r="267" spans="2:23" ht="18.75" customHeight="1">
      <c r="C267" s="121"/>
      <c r="D267" s="122"/>
      <c r="E267" s="126"/>
      <c r="F267" s="37"/>
      <c r="G267" s="37"/>
      <c r="H267" s="37"/>
      <c r="I267" s="37"/>
      <c r="J267" s="37"/>
      <c r="K267" s="37"/>
      <c r="L267" s="37"/>
      <c r="M267" s="37"/>
      <c r="N267" s="110"/>
      <c r="O267" s="38"/>
      <c r="P267" s="110"/>
      <c r="Q267" s="38"/>
      <c r="R267" s="121"/>
      <c r="S267" s="122"/>
      <c r="T267" s="126"/>
    </row>
    <row r="268" spans="2:23" ht="18.75" customHeight="1">
      <c r="K268" s="39"/>
      <c r="L268" s="104"/>
      <c r="M268" s="95"/>
      <c r="N268" s="39"/>
      <c r="O268" s="40"/>
      <c r="P268" s="113"/>
      <c r="Q268" s="40"/>
    </row>
    <row r="269" spans="2:23" ht="18.75" customHeight="1">
      <c r="H269" s="119" t="s">
        <v>4180</v>
      </c>
      <c r="I269" s="120"/>
      <c r="J269" s="125" t="str">
        <f>エンティティ一覧!$O$2</f>
        <v>milscm_2023_007</v>
      </c>
      <c r="L269" s="36"/>
      <c r="M269" s="107"/>
      <c r="N269" s="39"/>
      <c r="O269" s="40"/>
      <c r="P269" s="113"/>
      <c r="Q269" s="40"/>
    </row>
    <row r="270" spans="2:23" ht="18.75" customHeight="1">
      <c r="H270" s="121"/>
      <c r="I270" s="122"/>
      <c r="J270" s="126"/>
      <c r="K270" s="110"/>
      <c r="N270" s="39"/>
      <c r="O270" s="40"/>
      <c r="P270" s="113"/>
      <c r="Q270" s="40"/>
    </row>
    <row r="271" spans="2:23" ht="18.75" customHeight="1">
      <c r="K271" s="39"/>
      <c r="L271" s="40"/>
      <c r="N271" s="39"/>
      <c r="O271" s="40"/>
      <c r="P271" s="113"/>
      <c r="Q271" s="40"/>
    </row>
    <row r="272" spans="2:23" ht="18.75" customHeight="1">
      <c r="H272" s="119" t="s">
        <v>3886</v>
      </c>
      <c r="I272" s="120"/>
      <c r="J272" s="125" t="str">
        <f>エンティティ一覧!$O$2</f>
        <v>milscm_2023_007</v>
      </c>
      <c r="L272" s="41"/>
      <c r="N272" s="39"/>
      <c r="O272" s="40"/>
      <c r="P272" s="113"/>
      <c r="Q272" s="40"/>
    </row>
    <row r="273" spans="8:17" ht="18.75" customHeight="1">
      <c r="H273" s="121"/>
      <c r="I273" s="122"/>
      <c r="J273" s="126"/>
      <c r="K273" s="37"/>
      <c r="N273" s="39"/>
      <c r="O273" s="40"/>
      <c r="P273" s="113"/>
      <c r="Q273" s="40"/>
    </row>
    <row r="274" spans="8:17" ht="18.75" customHeight="1">
      <c r="N274" s="39"/>
      <c r="O274" s="40"/>
      <c r="P274" s="113"/>
      <c r="Q274" s="40"/>
    </row>
    <row r="275" spans="8:17" ht="18.75" customHeight="1">
      <c r="H275" s="119" t="s">
        <v>4181</v>
      </c>
      <c r="I275" s="120"/>
      <c r="J275" s="125" t="str">
        <f>エンティティ一覧!$O$2</f>
        <v>milscm_2023_007</v>
      </c>
      <c r="M275" s="36"/>
      <c r="O275" s="41"/>
      <c r="P275" s="113"/>
      <c r="Q275" s="40"/>
    </row>
    <row r="276" spans="8:17" ht="18.75" customHeight="1">
      <c r="H276" s="121"/>
      <c r="I276" s="122"/>
      <c r="J276" s="126"/>
      <c r="K276" s="37"/>
      <c r="L276" s="38"/>
      <c r="M276" s="37"/>
      <c r="N276" s="37"/>
      <c r="P276" s="113"/>
      <c r="Q276" s="40"/>
    </row>
    <row r="277" spans="8:17" ht="18.75" customHeight="1">
      <c r="K277" s="39"/>
      <c r="L277" s="40"/>
      <c r="P277" s="113"/>
      <c r="Q277" s="40"/>
    </row>
    <row r="278" spans="8:17" ht="18.75" customHeight="1">
      <c r="H278" s="119" t="s">
        <v>3886</v>
      </c>
      <c r="I278" s="120"/>
      <c r="J278" s="125" t="str">
        <f>エンティティ一覧!$O$2</f>
        <v>milscm_2023_007</v>
      </c>
      <c r="L278" s="41"/>
      <c r="P278" s="113"/>
      <c r="Q278" s="40"/>
    </row>
    <row r="279" spans="8:17" ht="18.75" customHeight="1">
      <c r="H279" s="121"/>
      <c r="I279" s="122"/>
      <c r="J279" s="126"/>
      <c r="K279" s="37"/>
      <c r="P279" s="113"/>
      <c r="Q279" s="40"/>
    </row>
    <row r="280" spans="8:17" ht="18.75" customHeight="1">
      <c r="P280" s="113"/>
      <c r="Q280" s="40"/>
    </row>
    <row r="281" spans="8:17" ht="18.75" customHeight="1">
      <c r="H281" s="119" t="s">
        <v>3886</v>
      </c>
      <c r="I281" s="120"/>
      <c r="J281" s="125" t="s">
        <v>4202</v>
      </c>
      <c r="K281" s="112"/>
      <c r="L281" s="36"/>
      <c r="M281" s="36"/>
      <c r="N281" s="36"/>
      <c r="O281" s="36"/>
      <c r="P281" s="111"/>
      <c r="Q281" s="41"/>
    </row>
    <row r="282" spans="8:17" ht="18.75" customHeight="1">
      <c r="H282" s="121"/>
      <c r="I282" s="122"/>
      <c r="J282" s="126"/>
      <c r="P282" s="98"/>
      <c r="Q282" s="41"/>
    </row>
    <row r="283" spans="8:17" ht="18.75" customHeight="1">
      <c r="P283" s="39"/>
      <c r="Q283" s="40"/>
    </row>
    <row r="284" spans="8:17" ht="18.75" customHeight="1">
      <c r="H284" s="119" t="s">
        <v>3745</v>
      </c>
      <c r="I284" s="120"/>
      <c r="J284" s="125" t="str">
        <f>エンティティ一覧!$O$2</f>
        <v>milscm_2023_007</v>
      </c>
      <c r="M284" s="36"/>
      <c r="N284" s="36"/>
      <c r="O284" s="36"/>
      <c r="Q284" s="41"/>
    </row>
    <row r="285" spans="8:17" ht="18.75" customHeight="1">
      <c r="H285" s="121"/>
      <c r="I285" s="122"/>
      <c r="J285" s="126"/>
      <c r="K285" s="37"/>
      <c r="L285" s="38"/>
      <c r="M285" s="37"/>
      <c r="N285" s="37"/>
      <c r="O285" s="37"/>
      <c r="P285" s="37"/>
    </row>
    <row r="286" spans="8:17" ht="18.75" customHeight="1">
      <c r="K286" s="39"/>
      <c r="L286" s="40"/>
    </row>
    <row r="287" spans="8:17" ht="18.75" customHeight="1">
      <c r="H287" s="119" t="s">
        <v>185</v>
      </c>
      <c r="I287" s="120"/>
      <c r="J287" s="125" t="str">
        <f>エンティティ一覧!$O$2</f>
        <v>milscm_2023_007</v>
      </c>
      <c r="L287" s="41"/>
    </row>
    <row r="288" spans="8:17" ht="18.75" customHeight="1">
      <c r="H288" s="121"/>
      <c r="I288" s="122"/>
      <c r="J288" s="126"/>
      <c r="K288" s="37"/>
    </row>
    <row r="290" spans="2:23" ht="18.75" customHeight="1" thickBot="1">
      <c r="B290" s="42"/>
      <c r="C290" s="42"/>
      <c r="D290" s="42"/>
      <c r="E290" s="42"/>
      <c r="F290" s="42"/>
      <c r="G290" s="42"/>
      <c r="H290" s="42"/>
      <c r="I290" s="42"/>
      <c r="J290" s="42"/>
      <c r="K290" s="42"/>
      <c r="L290" s="42"/>
      <c r="M290" s="42"/>
      <c r="N290" s="42"/>
      <c r="O290" s="42"/>
      <c r="P290" s="42"/>
      <c r="Q290" s="42"/>
      <c r="R290" s="42"/>
      <c r="S290" s="42"/>
      <c r="T290" s="42"/>
      <c r="U290" s="42"/>
    </row>
    <row r="292" spans="2:23" ht="18.75" customHeight="1">
      <c r="B292" s="43" t="s">
        <v>163</v>
      </c>
      <c r="C292" s="51" t="s">
        <v>4182</v>
      </c>
      <c r="D292" s="109"/>
      <c r="W292" s="35" t="str">
        <f>"-- "&amp;B292&amp;" : "&amp;C292</f>
        <v>-- SQL_ID : 41_16</v>
      </c>
    </row>
    <row r="293" spans="2:23" ht="18.75" customHeight="1">
      <c r="B293" s="43" t="s">
        <v>158</v>
      </c>
      <c r="C293" s="127" t="str">
        <f>R296&amp;"登録"</f>
        <v>ワーク_検体検査データ_スキーマ4登録</v>
      </c>
      <c r="D293" s="128"/>
      <c r="E293" s="128"/>
      <c r="F293" s="128"/>
      <c r="G293" s="128"/>
      <c r="H293" s="128"/>
      <c r="I293" s="128"/>
      <c r="J293" s="128"/>
      <c r="K293" s="128"/>
      <c r="L293" s="128"/>
      <c r="M293" s="128"/>
      <c r="N293" s="128"/>
      <c r="O293" s="128"/>
      <c r="P293" s="128"/>
      <c r="Q293" s="128"/>
      <c r="R293" s="128"/>
      <c r="S293" s="128"/>
      <c r="T293" s="128"/>
      <c r="U293" s="129"/>
      <c r="W293" s="35" t="str">
        <f>"-- "&amp;C293</f>
        <v>-- ワーク_検体検査データ_スキーマ4登録</v>
      </c>
    </row>
    <row r="294" spans="2:23" ht="18.75" customHeight="1">
      <c r="B294" s="43" t="s">
        <v>159</v>
      </c>
      <c r="C294" s="116" t="str">
        <f>"MML（スキーマ4）の検体検査データを抽出し、"&amp;R296&amp;"テーブルに格納する。"</f>
        <v>MML（スキーマ4）の検体検査データを抽出し、ワーク_検体検査データ_スキーマ4テーブルに格納する。</v>
      </c>
      <c r="D294" s="117"/>
      <c r="E294" s="117"/>
      <c r="F294" s="117"/>
      <c r="G294" s="117"/>
      <c r="H294" s="117"/>
      <c r="I294" s="117"/>
      <c r="J294" s="117"/>
      <c r="K294" s="117"/>
      <c r="L294" s="117"/>
      <c r="M294" s="117"/>
      <c r="N294" s="117"/>
      <c r="O294" s="117"/>
      <c r="P294" s="117"/>
      <c r="Q294" s="117"/>
      <c r="R294" s="117"/>
      <c r="S294" s="117"/>
      <c r="T294" s="117"/>
      <c r="U294" s="118"/>
      <c r="W294" s="35" t="str">
        <f>"-- "&amp;C294</f>
        <v>-- MML（スキーマ4）の検体検査データを抽出し、ワーク_検体検査データ_スキーマ4テーブルに格納する。</v>
      </c>
    </row>
    <row r="296" spans="2:23" ht="18.75" customHeight="1">
      <c r="C296" s="119" t="s">
        <v>4055</v>
      </c>
      <c r="D296" s="120"/>
      <c r="E296" s="125" t="str">
        <f>エンティティ一覧!$O$2</f>
        <v>milscm_2023_007</v>
      </c>
      <c r="F296" s="36"/>
      <c r="G296" s="36"/>
      <c r="H296" s="36"/>
      <c r="I296" s="36"/>
      <c r="J296" s="36"/>
      <c r="R296" s="119" t="s">
        <v>4183</v>
      </c>
      <c r="S296" s="120"/>
      <c r="T296" s="125" t="str">
        <f>エンティティ一覧!$O$2</f>
        <v>milscm_2023_007</v>
      </c>
    </row>
    <row r="297" spans="2:23" ht="18.75" customHeight="1">
      <c r="C297" s="121"/>
      <c r="D297" s="122"/>
      <c r="E297" s="126"/>
      <c r="F297" s="37"/>
      <c r="G297" s="37"/>
      <c r="H297" s="37"/>
      <c r="I297" s="37"/>
      <c r="J297" s="37"/>
      <c r="K297" s="37"/>
      <c r="L297" s="38"/>
      <c r="M297" s="37"/>
      <c r="N297" s="110"/>
      <c r="O297" s="38"/>
      <c r="P297" s="110"/>
      <c r="Q297" s="38"/>
      <c r="R297" s="121"/>
      <c r="S297" s="122"/>
      <c r="T297" s="126"/>
    </row>
    <row r="298" spans="2:23" ht="18.75" customHeight="1">
      <c r="F298" s="39"/>
      <c r="G298" s="104"/>
      <c r="K298" s="95"/>
      <c r="L298" s="39"/>
      <c r="M298" s="95"/>
      <c r="N298" s="39"/>
      <c r="O298" s="40"/>
      <c r="P298" s="113"/>
      <c r="Q298" s="40"/>
    </row>
    <row r="299" spans="2:23" ht="18.75" customHeight="1">
      <c r="C299" s="119" t="s">
        <v>3712</v>
      </c>
      <c r="D299" s="120"/>
      <c r="E299" s="125" t="str">
        <f>エンティティ一覧!$O$2</f>
        <v>milscm_2023_007</v>
      </c>
      <c r="F299" s="36"/>
      <c r="G299" s="36"/>
      <c r="H299" s="36"/>
      <c r="I299" s="36"/>
      <c r="J299" s="36"/>
      <c r="K299" s="107"/>
      <c r="L299" s="39"/>
      <c r="M299" s="95"/>
      <c r="N299" s="39"/>
      <c r="O299" s="40"/>
      <c r="P299" s="113"/>
      <c r="Q299" s="40"/>
    </row>
    <row r="300" spans="2:23" ht="18.75" customHeight="1">
      <c r="C300" s="121"/>
      <c r="D300" s="122"/>
      <c r="E300" s="126"/>
      <c r="F300" s="37"/>
      <c r="G300" s="37"/>
      <c r="H300" s="37"/>
      <c r="I300" s="37"/>
      <c r="J300" s="37"/>
      <c r="L300" s="39"/>
      <c r="M300" s="95"/>
      <c r="N300" s="39"/>
      <c r="O300" s="40"/>
      <c r="P300" s="113"/>
      <c r="Q300" s="40"/>
    </row>
    <row r="301" spans="2:23" ht="18.75" customHeight="1">
      <c r="K301" s="39"/>
      <c r="L301" s="104"/>
      <c r="M301" s="95"/>
      <c r="N301" s="39"/>
      <c r="O301" s="40"/>
      <c r="P301" s="113"/>
      <c r="Q301" s="40"/>
    </row>
    <row r="302" spans="2:23" ht="18.75" customHeight="1">
      <c r="H302" s="119" t="s">
        <v>4184</v>
      </c>
      <c r="I302" s="120"/>
      <c r="J302" s="125" t="str">
        <f>エンティティ一覧!$O$2</f>
        <v>milscm_2023_007</v>
      </c>
      <c r="L302" s="36"/>
      <c r="M302" s="107"/>
      <c r="N302" s="39"/>
      <c r="O302" s="40"/>
      <c r="P302" s="113"/>
      <c r="Q302" s="40"/>
    </row>
    <row r="303" spans="2:23" ht="18.75" customHeight="1">
      <c r="H303" s="121"/>
      <c r="I303" s="122"/>
      <c r="J303" s="126"/>
      <c r="K303" s="110"/>
      <c r="N303" s="39"/>
      <c r="O303" s="40"/>
      <c r="P303" s="113"/>
      <c r="Q303" s="40"/>
    </row>
    <row r="304" spans="2:23" ht="18.75" customHeight="1">
      <c r="K304" s="39"/>
      <c r="L304" s="40"/>
      <c r="N304" s="39"/>
      <c r="O304" s="40"/>
      <c r="P304" s="113"/>
      <c r="Q304" s="40"/>
    </row>
    <row r="305" spans="8:17" ht="18.75" customHeight="1">
      <c r="H305" s="119" t="s">
        <v>3886</v>
      </c>
      <c r="I305" s="120"/>
      <c r="J305" s="125" t="str">
        <f>エンティティ一覧!$O$2</f>
        <v>milscm_2023_007</v>
      </c>
      <c r="L305" s="41"/>
      <c r="N305" s="39"/>
      <c r="O305" s="40"/>
      <c r="P305" s="113"/>
      <c r="Q305" s="40"/>
    </row>
    <row r="306" spans="8:17" ht="18.75" customHeight="1">
      <c r="H306" s="121"/>
      <c r="I306" s="122"/>
      <c r="J306" s="126"/>
      <c r="K306" s="37"/>
      <c r="N306" s="39"/>
      <c r="O306" s="40"/>
      <c r="P306" s="113"/>
      <c r="Q306" s="40"/>
    </row>
    <row r="307" spans="8:17" ht="18.75" customHeight="1">
      <c r="N307" s="39"/>
      <c r="O307" s="40"/>
      <c r="P307" s="113"/>
      <c r="Q307" s="40"/>
    </row>
    <row r="308" spans="8:17" ht="18.75" customHeight="1">
      <c r="H308" s="119" t="s">
        <v>4185</v>
      </c>
      <c r="I308" s="120"/>
      <c r="J308" s="125" t="str">
        <f>エンティティ一覧!$O$2</f>
        <v>milscm_2023_007</v>
      </c>
      <c r="M308" s="36"/>
      <c r="O308" s="41"/>
      <c r="P308" s="113"/>
      <c r="Q308" s="40"/>
    </row>
    <row r="309" spans="8:17" ht="18.75" customHeight="1">
      <c r="H309" s="121"/>
      <c r="I309" s="122"/>
      <c r="J309" s="126"/>
      <c r="K309" s="37"/>
      <c r="L309" s="38"/>
      <c r="M309" s="37"/>
      <c r="N309" s="37"/>
      <c r="P309" s="113"/>
      <c r="Q309" s="40"/>
    </row>
    <row r="310" spans="8:17" ht="18.75" customHeight="1">
      <c r="K310" s="39"/>
      <c r="L310" s="40"/>
      <c r="P310" s="113"/>
      <c r="Q310" s="40"/>
    </row>
    <row r="311" spans="8:17" ht="18.75" customHeight="1">
      <c r="H311" s="119" t="s">
        <v>3886</v>
      </c>
      <c r="I311" s="120"/>
      <c r="J311" s="125" t="str">
        <f>エンティティ一覧!$O$2</f>
        <v>milscm_2023_007</v>
      </c>
      <c r="K311" s="107"/>
      <c r="L311" s="41"/>
      <c r="P311" s="113"/>
      <c r="Q311" s="40"/>
    </row>
    <row r="312" spans="8:17" ht="18.75" customHeight="1">
      <c r="H312" s="121"/>
      <c r="I312" s="122"/>
      <c r="J312" s="126"/>
      <c r="K312" s="37"/>
      <c r="P312" s="113"/>
      <c r="Q312" s="40"/>
    </row>
    <row r="313" spans="8:17" ht="18.75" customHeight="1">
      <c r="H313" s="114"/>
      <c r="I313" s="114"/>
      <c r="J313" s="114"/>
      <c r="K313" s="98"/>
      <c r="P313" s="113"/>
      <c r="Q313" s="40"/>
    </row>
    <row r="314" spans="8:17" ht="18.75" customHeight="1">
      <c r="H314" s="119" t="s">
        <v>3886</v>
      </c>
      <c r="I314" s="120"/>
      <c r="J314" s="125" t="str">
        <f>エンティティ一覧!$O$2</f>
        <v>milscm_2023_007</v>
      </c>
      <c r="K314" s="36"/>
      <c r="L314" s="36"/>
      <c r="M314" s="36"/>
      <c r="N314" s="36"/>
      <c r="O314" s="107"/>
      <c r="P314" s="111"/>
      <c r="Q314" s="41"/>
    </row>
    <row r="315" spans="8:17" ht="18.75" customHeight="1">
      <c r="H315" s="121"/>
      <c r="I315" s="122"/>
      <c r="J315" s="126"/>
      <c r="P315" s="98"/>
      <c r="Q315" s="41"/>
    </row>
    <row r="316" spans="8:17" ht="18.75" customHeight="1">
      <c r="P316" s="39"/>
      <c r="Q316" s="40"/>
    </row>
    <row r="317" spans="8:17" ht="18.75" customHeight="1">
      <c r="H317" s="119" t="s">
        <v>3745</v>
      </c>
      <c r="I317" s="120"/>
      <c r="J317" s="125" t="str">
        <f>エンティティ一覧!$O$2</f>
        <v>milscm_2023_007</v>
      </c>
      <c r="L317" s="115"/>
      <c r="M317" s="36"/>
      <c r="N317" s="36"/>
      <c r="O317" s="36"/>
      <c r="P317" s="107"/>
    </row>
    <row r="318" spans="8:17" ht="18.75" customHeight="1">
      <c r="H318" s="121"/>
      <c r="I318" s="122"/>
      <c r="J318" s="126"/>
      <c r="K318" s="37"/>
      <c r="L318" s="40"/>
    </row>
    <row r="319" spans="8:17" ht="18.75" customHeight="1">
      <c r="K319" s="39"/>
      <c r="L319" s="40"/>
    </row>
    <row r="320" spans="8:17" ht="18.75" customHeight="1">
      <c r="H320" s="119" t="s">
        <v>185</v>
      </c>
      <c r="I320" s="120"/>
      <c r="J320" s="125" t="str">
        <f>エンティティ一覧!$O$2</f>
        <v>milscm_2023_007</v>
      </c>
      <c r="L320" s="41"/>
    </row>
    <row r="321" spans="2:23" ht="18.75" customHeight="1">
      <c r="H321" s="121"/>
      <c r="I321" s="122"/>
      <c r="J321" s="126"/>
      <c r="K321" s="37"/>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4186</v>
      </c>
      <c r="D325" s="109"/>
      <c r="W325" s="35" t="str">
        <f>"-- "&amp;B325&amp;" : "&amp;C325</f>
        <v>-- SQL_ID : 41_17</v>
      </c>
    </row>
    <row r="326" spans="2:23" ht="18.75" customHeight="1">
      <c r="B326" s="43" t="s">
        <v>158</v>
      </c>
      <c r="C326" s="127" t="str">
        <f>R329&amp;"登録"</f>
        <v>ワーク_検体検査データ登録</v>
      </c>
      <c r="D326" s="128"/>
      <c r="E326" s="128"/>
      <c r="F326" s="128"/>
      <c r="G326" s="128"/>
      <c r="H326" s="128"/>
      <c r="I326" s="128"/>
      <c r="J326" s="128"/>
      <c r="K326" s="128"/>
      <c r="L326" s="128"/>
      <c r="M326" s="128"/>
      <c r="N326" s="128"/>
      <c r="O326" s="128"/>
      <c r="P326" s="128"/>
      <c r="Q326" s="128"/>
      <c r="R326" s="128"/>
      <c r="S326" s="128"/>
      <c r="T326" s="128"/>
      <c r="U326" s="129"/>
      <c r="W326" s="35" t="str">
        <f>"-- "&amp;C326</f>
        <v>-- ワーク_検体検査データ登録</v>
      </c>
    </row>
    <row r="327" spans="2:23" ht="18.75" customHeight="1">
      <c r="B327" s="43" t="s">
        <v>159</v>
      </c>
      <c r="C327" s="116" t="str">
        <f>"MMLの検体検査データを抽出し、"&amp;R329&amp;"テーブルに格納する。"</f>
        <v>MMLの検体検査データを抽出し、ワーク_検体検査データテーブルに格納する。</v>
      </c>
      <c r="D327" s="117"/>
      <c r="E327" s="117"/>
      <c r="F327" s="117"/>
      <c r="G327" s="117"/>
      <c r="H327" s="117"/>
      <c r="I327" s="117"/>
      <c r="J327" s="117"/>
      <c r="K327" s="117"/>
      <c r="L327" s="117"/>
      <c r="M327" s="117"/>
      <c r="N327" s="117"/>
      <c r="O327" s="117"/>
      <c r="P327" s="117"/>
      <c r="Q327" s="117"/>
      <c r="R327" s="117"/>
      <c r="S327" s="117"/>
      <c r="T327" s="117"/>
      <c r="U327" s="118"/>
      <c r="W327" s="35" t="str">
        <f>"-- "&amp;C327</f>
        <v>-- MMLの検体検査データを抽出し、ワーク_検体検査データテーブルに格納する。</v>
      </c>
    </row>
    <row r="329" spans="2:23" ht="18.75" customHeight="1">
      <c r="C329" s="119" t="s">
        <v>4187</v>
      </c>
      <c r="D329" s="120"/>
      <c r="E329" s="125" t="str">
        <f>エンティティ一覧!$O$2</f>
        <v>milscm_2023_007</v>
      </c>
      <c r="H329" s="36"/>
      <c r="I329" s="36"/>
      <c r="J329" s="36"/>
      <c r="K329" s="36"/>
      <c r="L329" s="36"/>
      <c r="M329" s="36"/>
      <c r="N329" s="36"/>
      <c r="O329" s="36"/>
      <c r="P329" s="36"/>
      <c r="Q329" s="36"/>
      <c r="R329" s="119" t="s">
        <v>4179</v>
      </c>
      <c r="S329" s="120"/>
      <c r="T329" s="125" t="str">
        <f>エンティティ一覧!$O$2</f>
        <v>milscm_2023_007</v>
      </c>
    </row>
    <row r="330" spans="2:23" ht="18.75" customHeight="1">
      <c r="C330" s="121"/>
      <c r="D330" s="122"/>
      <c r="E330" s="126"/>
      <c r="F330" s="37"/>
      <c r="G330" s="38"/>
      <c r="H330" s="37"/>
      <c r="I330" s="37"/>
      <c r="J330" s="37"/>
      <c r="K330" s="37"/>
      <c r="L330" s="37"/>
      <c r="M330" s="37"/>
      <c r="N330" s="37"/>
      <c r="O330" s="37"/>
      <c r="P330" s="37"/>
      <c r="Q330" s="37"/>
      <c r="R330" s="121"/>
      <c r="S330" s="122"/>
      <c r="T330" s="126"/>
    </row>
    <row r="331" spans="2:23" ht="18.75" customHeight="1">
      <c r="F331" s="39"/>
      <c r="G331" s="40"/>
    </row>
    <row r="332" spans="2:23" ht="18.75" customHeight="1">
      <c r="C332" s="119" t="s">
        <v>4183</v>
      </c>
      <c r="D332" s="120"/>
      <c r="E332" s="125" t="str">
        <f>エンティティ一覧!$O$2</f>
        <v>milscm_2023_007</v>
      </c>
      <c r="G332" s="41"/>
    </row>
    <row r="333" spans="2:23" ht="18.75" customHeight="1">
      <c r="C333" s="121"/>
      <c r="D333" s="122"/>
      <c r="E333" s="126"/>
      <c r="F333" s="37"/>
    </row>
    <row r="335" spans="2:23" ht="18.75" customHeight="1" thickBot="1">
      <c r="B335" s="42"/>
      <c r="C335" s="42"/>
      <c r="D335" s="42"/>
      <c r="E335" s="42"/>
      <c r="F335" s="42"/>
      <c r="G335" s="42"/>
      <c r="H335" s="42"/>
      <c r="I335" s="42"/>
      <c r="J335" s="42"/>
      <c r="K335" s="42"/>
      <c r="L335" s="42"/>
      <c r="M335" s="42"/>
      <c r="N335" s="42"/>
      <c r="O335" s="42"/>
      <c r="P335" s="42"/>
      <c r="Q335" s="42"/>
      <c r="R335" s="42"/>
      <c r="S335" s="42"/>
      <c r="T335" s="42"/>
      <c r="U335" s="42"/>
    </row>
    <row r="337" spans="2:23" ht="18.75" customHeight="1">
      <c r="B337" s="43" t="s">
        <v>163</v>
      </c>
      <c r="C337" s="51" t="s">
        <v>4188</v>
      </c>
      <c r="D337" s="106"/>
      <c r="W337" s="35" t="str">
        <f>"-- "&amp;B337&amp;" : "&amp;C337</f>
        <v>-- SQL_ID : 41_18_01</v>
      </c>
    </row>
    <row r="338" spans="2:23" ht="18.75" customHeight="1">
      <c r="B338" s="43" t="s">
        <v>158</v>
      </c>
      <c r="C338" s="127" t="str">
        <f>R341&amp;"登録"</f>
        <v>ワーク_テキスト情報_一時登録</v>
      </c>
      <c r="D338" s="128"/>
      <c r="E338" s="128"/>
      <c r="F338" s="128"/>
      <c r="G338" s="128"/>
      <c r="H338" s="128"/>
      <c r="I338" s="128"/>
      <c r="J338" s="128"/>
      <c r="K338" s="128"/>
      <c r="L338" s="128"/>
      <c r="M338" s="128"/>
      <c r="N338" s="128"/>
      <c r="O338" s="128"/>
      <c r="P338" s="128"/>
      <c r="Q338" s="128"/>
      <c r="R338" s="128"/>
      <c r="S338" s="128"/>
      <c r="T338" s="128"/>
      <c r="U338" s="129"/>
      <c r="W338" s="35" t="str">
        <f>"-- "&amp;C338</f>
        <v>-- ワーク_テキスト情報_一時登録</v>
      </c>
    </row>
    <row r="339" spans="2:23" ht="18.75" customHeight="1">
      <c r="B339" s="43" t="s">
        <v>159</v>
      </c>
      <c r="C339" s="116" t="str">
        <f>"MMLのテキストデータを抽出し、"&amp;R341&amp;"テーブルに格納する。"</f>
        <v>MMLのテキストデータを抽出し、ワーク_テキスト情報_一時テーブルに格納する。</v>
      </c>
      <c r="D339" s="117"/>
      <c r="E339" s="117"/>
      <c r="F339" s="117"/>
      <c r="G339" s="117"/>
      <c r="H339" s="117"/>
      <c r="I339" s="117"/>
      <c r="J339" s="117"/>
      <c r="K339" s="117"/>
      <c r="L339" s="117"/>
      <c r="M339" s="117"/>
      <c r="N339" s="117"/>
      <c r="O339" s="117"/>
      <c r="P339" s="117"/>
      <c r="Q339" s="117"/>
      <c r="R339" s="117"/>
      <c r="S339" s="117"/>
      <c r="T339" s="117"/>
      <c r="U339" s="118"/>
      <c r="W339" s="35" t="str">
        <f>"-- "&amp;C339</f>
        <v>-- MMLのテキストデータを抽出し、ワーク_テキスト情報_一時テーブルに格納する。</v>
      </c>
    </row>
    <row r="341" spans="2:23" ht="18.75" customHeight="1">
      <c r="C341" s="130" t="s">
        <v>4079</v>
      </c>
      <c r="D341" s="131"/>
      <c r="E341" s="125" t="str">
        <f>エンティティ一覧!$O$2</f>
        <v>milscm_2023_007</v>
      </c>
      <c r="F341" s="36"/>
      <c r="G341" s="36"/>
      <c r="H341" s="36"/>
      <c r="I341" s="36"/>
      <c r="J341" s="36"/>
      <c r="K341" s="36"/>
      <c r="L341" s="36"/>
      <c r="M341" s="36"/>
      <c r="N341" s="36"/>
      <c r="O341" s="36"/>
      <c r="R341" s="119" t="s">
        <v>4272</v>
      </c>
      <c r="S341" s="120"/>
      <c r="T341" s="125" t="str">
        <f>エンティティ一覧!$O$2</f>
        <v>milscm_2023_007</v>
      </c>
    </row>
    <row r="342" spans="2:23" ht="18.75" customHeight="1">
      <c r="C342" s="132"/>
      <c r="D342" s="133"/>
      <c r="E342" s="126"/>
      <c r="F342" s="37"/>
      <c r="G342" s="37"/>
      <c r="H342" s="37"/>
      <c r="I342" s="37"/>
      <c r="J342" s="37"/>
      <c r="K342" s="37"/>
      <c r="L342" s="37"/>
      <c r="M342" s="37"/>
      <c r="N342" s="37"/>
      <c r="O342" s="37"/>
      <c r="P342" s="37"/>
      <c r="Q342" s="37"/>
      <c r="R342" s="121"/>
      <c r="S342" s="122"/>
      <c r="T342" s="126"/>
    </row>
    <row r="344" spans="2:23" ht="18.75" customHeight="1" thickBot="1">
      <c r="B344" s="42"/>
      <c r="C344" s="42"/>
      <c r="D344" s="42"/>
      <c r="E344" s="42"/>
      <c r="F344" s="42"/>
      <c r="G344" s="42"/>
      <c r="H344" s="42"/>
      <c r="I344" s="42"/>
      <c r="J344" s="42"/>
      <c r="K344" s="42"/>
      <c r="L344" s="42"/>
      <c r="M344" s="42"/>
      <c r="N344" s="42"/>
      <c r="O344" s="42"/>
      <c r="P344" s="42"/>
      <c r="Q344" s="42"/>
      <c r="R344" s="42"/>
      <c r="S344" s="42"/>
      <c r="T344" s="42"/>
      <c r="U344" s="42"/>
    </row>
    <row r="346" spans="2:23" ht="18.75" customHeight="1">
      <c r="B346" s="43" t="s">
        <v>163</v>
      </c>
      <c r="C346" s="51" t="s">
        <v>4189</v>
      </c>
      <c r="D346" s="106"/>
      <c r="W346" s="35" t="str">
        <f>"-- "&amp;B346&amp;" : "&amp;C346</f>
        <v>-- SQL_ID : 41_18_02</v>
      </c>
    </row>
    <row r="347" spans="2:23" ht="18.75" customHeight="1">
      <c r="B347" s="43" t="s">
        <v>158</v>
      </c>
      <c r="C347" s="127" t="str">
        <f>R350&amp;"登録"</f>
        <v>ワーク_テキスト情報_一時登録</v>
      </c>
      <c r="D347" s="128"/>
      <c r="E347" s="128"/>
      <c r="F347" s="128"/>
      <c r="G347" s="128"/>
      <c r="H347" s="128"/>
      <c r="I347" s="128"/>
      <c r="J347" s="128"/>
      <c r="K347" s="128"/>
      <c r="L347" s="128"/>
      <c r="M347" s="128"/>
      <c r="N347" s="128"/>
      <c r="O347" s="128"/>
      <c r="P347" s="128"/>
      <c r="Q347" s="128"/>
      <c r="R347" s="128"/>
      <c r="S347" s="128"/>
      <c r="T347" s="128"/>
      <c r="U347" s="129"/>
      <c r="W347" s="35" t="str">
        <f>"-- "&amp;C347</f>
        <v>-- ワーク_テキスト情報_一時登録</v>
      </c>
    </row>
    <row r="348" spans="2:23" ht="18.75" customHeight="1">
      <c r="B348" s="43" t="s">
        <v>159</v>
      </c>
      <c r="C348" s="116" t="str">
        <f>"MMLのテキストデータを抽出し、"&amp;R350&amp;"テーブルに格納する。"</f>
        <v>MMLのテキストデータを抽出し、ワーク_テキスト情報_一時テーブルに格納する。</v>
      </c>
      <c r="D348" s="117"/>
      <c r="E348" s="117"/>
      <c r="F348" s="117"/>
      <c r="G348" s="117"/>
      <c r="H348" s="117"/>
      <c r="I348" s="117"/>
      <c r="J348" s="117"/>
      <c r="K348" s="117"/>
      <c r="L348" s="117"/>
      <c r="M348" s="117"/>
      <c r="N348" s="117"/>
      <c r="O348" s="117"/>
      <c r="P348" s="117"/>
      <c r="Q348" s="117"/>
      <c r="R348" s="117"/>
      <c r="S348" s="117"/>
      <c r="T348" s="117"/>
      <c r="U348" s="118"/>
      <c r="W348" s="35" t="str">
        <f>"-- "&amp;C348</f>
        <v>-- MMLのテキストデータを抽出し、ワーク_テキスト情報_一時テーブルに格納する。</v>
      </c>
    </row>
    <row r="350" spans="2:23" ht="18.75" customHeight="1">
      <c r="C350" s="130" t="s">
        <v>4080</v>
      </c>
      <c r="D350" s="131"/>
      <c r="E350" s="125" t="str">
        <f>エンティティ一覧!$O$2</f>
        <v>milscm_2023_007</v>
      </c>
      <c r="F350" s="36"/>
      <c r="G350" s="36"/>
      <c r="H350" s="36"/>
      <c r="I350" s="36"/>
      <c r="J350" s="36"/>
      <c r="K350" s="36"/>
      <c r="L350" s="36"/>
      <c r="M350" s="36"/>
      <c r="N350" s="36"/>
      <c r="O350" s="36"/>
      <c r="R350" s="119" t="s">
        <v>4272</v>
      </c>
      <c r="S350" s="120"/>
      <c r="T350" s="125" t="str">
        <f>エンティティ一覧!$O$2</f>
        <v>milscm_2023_007</v>
      </c>
    </row>
    <row r="351" spans="2:23" ht="18.75" customHeight="1">
      <c r="C351" s="132"/>
      <c r="D351" s="133"/>
      <c r="E351" s="126"/>
      <c r="F351" s="37"/>
      <c r="G351" s="37"/>
      <c r="H351" s="37"/>
      <c r="I351" s="37"/>
      <c r="J351" s="37"/>
      <c r="K351" s="37"/>
      <c r="L351" s="37"/>
      <c r="M351" s="37"/>
      <c r="N351" s="37"/>
      <c r="O351" s="37"/>
      <c r="P351" s="37"/>
      <c r="Q351" s="37"/>
      <c r="R351" s="121"/>
      <c r="S351" s="122"/>
      <c r="T351" s="126"/>
    </row>
    <row r="353" spans="2:23" ht="18.75" customHeight="1" thickBot="1">
      <c r="B353" s="42"/>
      <c r="C353" s="42"/>
      <c r="D353" s="42"/>
      <c r="E353" s="42"/>
      <c r="F353" s="42"/>
      <c r="G353" s="42"/>
      <c r="H353" s="42"/>
      <c r="I353" s="42"/>
      <c r="J353" s="42"/>
      <c r="K353" s="42"/>
      <c r="L353" s="42"/>
      <c r="M353" s="42"/>
      <c r="N353" s="42"/>
      <c r="O353" s="42"/>
      <c r="P353" s="42"/>
      <c r="Q353" s="42"/>
      <c r="R353" s="42"/>
      <c r="S353" s="42"/>
      <c r="T353" s="42"/>
      <c r="U353" s="42"/>
    </row>
    <row r="355" spans="2:23" ht="18.75" customHeight="1">
      <c r="B355" s="43" t="s">
        <v>163</v>
      </c>
      <c r="C355" s="51" t="s">
        <v>4190</v>
      </c>
      <c r="D355" s="106"/>
      <c r="W355" s="35" t="str">
        <f>"-- "&amp;B355&amp;" : "&amp;C355</f>
        <v>-- SQL_ID : 41_18_03</v>
      </c>
    </row>
    <row r="356" spans="2:23" ht="18.75" customHeight="1">
      <c r="B356" s="43" t="s">
        <v>158</v>
      </c>
      <c r="C356" s="127" t="str">
        <f>R359&amp;"登録"</f>
        <v>ワーク_テキスト情報_一時登録</v>
      </c>
      <c r="D356" s="128"/>
      <c r="E356" s="128"/>
      <c r="F356" s="128"/>
      <c r="G356" s="128"/>
      <c r="H356" s="128"/>
      <c r="I356" s="128"/>
      <c r="J356" s="128"/>
      <c r="K356" s="128"/>
      <c r="L356" s="128"/>
      <c r="M356" s="128"/>
      <c r="N356" s="128"/>
      <c r="O356" s="128"/>
      <c r="P356" s="128"/>
      <c r="Q356" s="128"/>
      <c r="R356" s="128"/>
      <c r="S356" s="128"/>
      <c r="T356" s="128"/>
      <c r="U356" s="129"/>
      <c r="W356" s="35" t="str">
        <f>"-- "&amp;C356</f>
        <v>-- ワーク_テキスト情報_一時登録</v>
      </c>
    </row>
    <row r="357" spans="2:23" ht="18.75" customHeight="1">
      <c r="B357" s="43" t="s">
        <v>159</v>
      </c>
      <c r="C357" s="116" t="str">
        <f>"MMLのテキストデータを抽出し、"&amp;R359&amp;"テーブルに格納する。"</f>
        <v>MMLのテキストデータを抽出し、ワーク_テキスト情報_一時テーブルに格納する。</v>
      </c>
      <c r="D357" s="117"/>
      <c r="E357" s="117"/>
      <c r="F357" s="117"/>
      <c r="G357" s="117"/>
      <c r="H357" s="117"/>
      <c r="I357" s="117"/>
      <c r="J357" s="117"/>
      <c r="K357" s="117"/>
      <c r="L357" s="117"/>
      <c r="M357" s="117"/>
      <c r="N357" s="117"/>
      <c r="O357" s="117"/>
      <c r="P357" s="117"/>
      <c r="Q357" s="117"/>
      <c r="R357" s="117"/>
      <c r="S357" s="117"/>
      <c r="T357" s="117"/>
      <c r="U357" s="118"/>
      <c r="W357" s="35" t="str">
        <f>"-- "&amp;C357</f>
        <v>-- MMLのテキストデータを抽出し、ワーク_テキスト情報_一時テーブルに格納する。</v>
      </c>
    </row>
    <row r="359" spans="2:23" ht="18.75" customHeight="1">
      <c r="C359" s="130" t="s">
        <v>4081</v>
      </c>
      <c r="D359" s="131"/>
      <c r="E359" s="125" t="str">
        <f>エンティティ一覧!$O$2</f>
        <v>milscm_2023_007</v>
      </c>
      <c r="F359" s="36"/>
      <c r="G359" s="36"/>
      <c r="H359" s="36"/>
      <c r="I359" s="36"/>
      <c r="J359" s="36"/>
      <c r="K359" s="36"/>
      <c r="L359" s="36"/>
      <c r="M359" s="36"/>
      <c r="N359" s="36"/>
      <c r="O359" s="36"/>
      <c r="R359" s="119" t="s">
        <v>4272</v>
      </c>
      <c r="S359" s="120"/>
      <c r="T359" s="125" t="str">
        <f>エンティティ一覧!$O$2</f>
        <v>milscm_2023_007</v>
      </c>
    </row>
    <row r="360" spans="2:23" ht="18.75" customHeight="1">
      <c r="C360" s="132"/>
      <c r="D360" s="133"/>
      <c r="E360" s="126"/>
      <c r="F360" s="37"/>
      <c r="G360" s="37"/>
      <c r="H360" s="37"/>
      <c r="I360" s="37"/>
      <c r="J360" s="37"/>
      <c r="K360" s="37"/>
      <c r="L360" s="37"/>
      <c r="M360" s="37"/>
      <c r="N360" s="37"/>
      <c r="O360" s="37"/>
      <c r="P360" s="37"/>
      <c r="Q360" s="37"/>
      <c r="R360" s="121"/>
      <c r="S360" s="122"/>
      <c r="T360" s="126"/>
    </row>
    <row r="362" spans="2:23" ht="18.75" customHeight="1" thickBot="1">
      <c r="B362" s="42"/>
      <c r="C362" s="42"/>
      <c r="D362" s="42"/>
      <c r="E362" s="42"/>
      <c r="F362" s="42"/>
      <c r="G362" s="42"/>
      <c r="H362" s="42"/>
      <c r="I362" s="42"/>
      <c r="J362" s="42"/>
      <c r="K362" s="42"/>
      <c r="L362" s="42"/>
      <c r="M362" s="42"/>
      <c r="N362" s="42"/>
      <c r="O362" s="42"/>
      <c r="P362" s="42"/>
      <c r="Q362" s="42"/>
      <c r="R362" s="42"/>
      <c r="S362" s="42"/>
      <c r="T362" s="42"/>
      <c r="U362" s="42"/>
    </row>
    <row r="364" spans="2:23" ht="18.75" customHeight="1">
      <c r="B364" s="43" t="s">
        <v>163</v>
      </c>
      <c r="C364" s="51" t="s">
        <v>4192</v>
      </c>
      <c r="D364" s="106"/>
      <c r="W364" s="35" t="str">
        <f>"-- "&amp;B364&amp;" : "&amp;C364</f>
        <v>-- SQL_ID : 41_18_04</v>
      </c>
    </row>
    <row r="365" spans="2:23" ht="18.75" customHeight="1">
      <c r="B365" s="43" t="s">
        <v>158</v>
      </c>
      <c r="C365" s="127" t="str">
        <f>R368&amp;"登録"</f>
        <v>ワーク_テキスト情報_一時登録</v>
      </c>
      <c r="D365" s="128"/>
      <c r="E365" s="128"/>
      <c r="F365" s="128"/>
      <c r="G365" s="128"/>
      <c r="H365" s="128"/>
      <c r="I365" s="128"/>
      <c r="J365" s="128"/>
      <c r="K365" s="128"/>
      <c r="L365" s="128"/>
      <c r="M365" s="128"/>
      <c r="N365" s="128"/>
      <c r="O365" s="128"/>
      <c r="P365" s="128"/>
      <c r="Q365" s="128"/>
      <c r="R365" s="128"/>
      <c r="S365" s="128"/>
      <c r="T365" s="128"/>
      <c r="U365" s="129"/>
      <c r="W365" s="35" t="str">
        <f>"-- "&amp;C365</f>
        <v>-- ワーク_テキスト情報_一時登録</v>
      </c>
    </row>
    <row r="366" spans="2:23" ht="18.75" customHeight="1">
      <c r="B366" s="43" t="s">
        <v>159</v>
      </c>
      <c r="C366" s="116" t="str">
        <f>"MMLのテキストデータを抽出し、"&amp;R368&amp;"テーブルに格納する。"</f>
        <v>MMLのテキストデータを抽出し、ワーク_テキスト情報_一時テーブルに格納する。</v>
      </c>
      <c r="D366" s="117"/>
      <c r="E366" s="117"/>
      <c r="F366" s="117"/>
      <c r="G366" s="117"/>
      <c r="H366" s="117"/>
      <c r="I366" s="117"/>
      <c r="J366" s="117"/>
      <c r="K366" s="117"/>
      <c r="L366" s="117"/>
      <c r="M366" s="117"/>
      <c r="N366" s="117"/>
      <c r="O366" s="117"/>
      <c r="P366" s="117"/>
      <c r="Q366" s="117"/>
      <c r="R366" s="117"/>
      <c r="S366" s="117"/>
      <c r="T366" s="117"/>
      <c r="U366" s="118"/>
      <c r="W366" s="35" t="str">
        <f>"-- "&amp;C366</f>
        <v>-- MMLのテキストデータを抽出し、ワーク_テキスト情報_一時テーブルに格納する。</v>
      </c>
    </row>
    <row r="368" spans="2:23" ht="18.75" customHeight="1">
      <c r="C368" s="130" t="s">
        <v>4083</v>
      </c>
      <c r="D368" s="131"/>
      <c r="E368" s="125" t="str">
        <f>エンティティ一覧!$O$2</f>
        <v>milscm_2023_007</v>
      </c>
      <c r="F368" s="36"/>
      <c r="G368" s="36"/>
      <c r="H368" s="36"/>
      <c r="I368" s="36"/>
      <c r="J368" s="36"/>
      <c r="K368" s="36"/>
      <c r="L368" s="36"/>
      <c r="M368" s="36"/>
      <c r="N368" s="36"/>
      <c r="O368" s="36"/>
      <c r="R368" s="119" t="s">
        <v>4272</v>
      </c>
      <c r="S368" s="120"/>
      <c r="T368" s="125" t="str">
        <f>エンティティ一覧!$O$2</f>
        <v>milscm_2023_007</v>
      </c>
    </row>
    <row r="369" spans="2:23" ht="18.75" customHeight="1">
      <c r="C369" s="132"/>
      <c r="D369" s="133"/>
      <c r="E369" s="126"/>
      <c r="F369" s="37"/>
      <c r="G369" s="37"/>
      <c r="H369" s="37"/>
      <c r="I369" s="37"/>
      <c r="J369" s="37"/>
      <c r="K369" s="37"/>
      <c r="L369" s="37"/>
      <c r="M369" s="37"/>
      <c r="N369" s="37"/>
      <c r="O369" s="37"/>
      <c r="P369" s="37"/>
      <c r="Q369" s="37"/>
      <c r="R369" s="121"/>
      <c r="S369" s="122"/>
      <c r="T369" s="126"/>
    </row>
    <row r="371" spans="2:23" ht="18.75" customHeight="1" thickBot="1">
      <c r="B371" s="42"/>
      <c r="C371" s="42"/>
      <c r="D371" s="42"/>
      <c r="E371" s="42"/>
      <c r="F371" s="42"/>
      <c r="G371" s="42"/>
      <c r="H371" s="42"/>
      <c r="I371" s="42"/>
      <c r="J371" s="42"/>
      <c r="K371" s="42"/>
      <c r="L371" s="42"/>
      <c r="M371" s="42"/>
      <c r="N371" s="42"/>
      <c r="O371" s="42"/>
      <c r="P371" s="42"/>
      <c r="Q371" s="42"/>
      <c r="R371" s="42"/>
      <c r="S371" s="42"/>
      <c r="T371" s="42"/>
      <c r="U371" s="42"/>
    </row>
    <row r="373" spans="2:23" ht="18.75" customHeight="1">
      <c r="B373" s="43" t="s">
        <v>163</v>
      </c>
      <c r="C373" s="51" t="s">
        <v>4191</v>
      </c>
      <c r="D373" s="106"/>
      <c r="W373" s="35" t="str">
        <f>"-- "&amp;B373&amp;" : "&amp;C373</f>
        <v>-- SQL_ID : 41_18_05</v>
      </c>
    </row>
    <row r="374" spans="2:23" ht="18.75" customHeight="1">
      <c r="B374" s="43" t="s">
        <v>158</v>
      </c>
      <c r="C374" s="127" t="str">
        <f>R377&amp;"登録"</f>
        <v>ワーク_テキスト情報_一時登録</v>
      </c>
      <c r="D374" s="128"/>
      <c r="E374" s="128"/>
      <c r="F374" s="128"/>
      <c r="G374" s="128"/>
      <c r="H374" s="128"/>
      <c r="I374" s="128"/>
      <c r="J374" s="128"/>
      <c r="K374" s="128"/>
      <c r="L374" s="128"/>
      <c r="M374" s="128"/>
      <c r="N374" s="128"/>
      <c r="O374" s="128"/>
      <c r="P374" s="128"/>
      <c r="Q374" s="128"/>
      <c r="R374" s="128"/>
      <c r="S374" s="128"/>
      <c r="T374" s="128"/>
      <c r="U374" s="129"/>
      <c r="W374" s="35" t="str">
        <f>"-- "&amp;C374</f>
        <v>-- ワーク_テキスト情報_一時登録</v>
      </c>
    </row>
    <row r="375" spans="2:23" ht="18.75" customHeight="1">
      <c r="B375" s="43" t="s">
        <v>159</v>
      </c>
      <c r="C375" s="116" t="str">
        <f>"MMLのテキストデータを抽出し、"&amp;R377&amp;"テーブルに格納する。"</f>
        <v>MMLのテキストデータを抽出し、ワーク_テキスト情報_一時テーブルに格納する。</v>
      </c>
      <c r="D375" s="117"/>
      <c r="E375" s="117"/>
      <c r="F375" s="117"/>
      <c r="G375" s="117"/>
      <c r="H375" s="117"/>
      <c r="I375" s="117"/>
      <c r="J375" s="117"/>
      <c r="K375" s="117"/>
      <c r="L375" s="117"/>
      <c r="M375" s="117"/>
      <c r="N375" s="117"/>
      <c r="O375" s="117"/>
      <c r="P375" s="117"/>
      <c r="Q375" s="117"/>
      <c r="R375" s="117"/>
      <c r="S375" s="117"/>
      <c r="T375" s="117"/>
      <c r="U375" s="118"/>
      <c r="W375" s="35" t="str">
        <f>"-- "&amp;C375</f>
        <v>-- MMLのテキストデータを抽出し、ワーク_テキスト情報_一時テーブルに格納する。</v>
      </c>
    </row>
    <row r="377" spans="2:23" ht="18.75" customHeight="1">
      <c r="C377" s="130" t="s">
        <v>4083</v>
      </c>
      <c r="D377" s="131"/>
      <c r="E377" s="125" t="str">
        <f>エンティティ一覧!$O$2</f>
        <v>milscm_2023_007</v>
      </c>
      <c r="F377" s="36"/>
      <c r="G377" s="36"/>
      <c r="H377" s="36"/>
      <c r="I377" s="36"/>
      <c r="J377" s="36"/>
      <c r="K377" s="36"/>
      <c r="L377" s="36"/>
      <c r="M377" s="36"/>
      <c r="N377" s="36"/>
      <c r="O377" s="36"/>
      <c r="R377" s="119" t="s">
        <v>4272</v>
      </c>
      <c r="S377" s="120"/>
      <c r="T377" s="125" t="str">
        <f>エンティティ一覧!$O$2</f>
        <v>milscm_2023_007</v>
      </c>
    </row>
    <row r="378" spans="2:23" ht="18.75" customHeight="1">
      <c r="C378" s="132"/>
      <c r="D378" s="133"/>
      <c r="E378" s="126"/>
      <c r="F378" s="37"/>
      <c r="G378" s="37"/>
      <c r="H378" s="37"/>
      <c r="I378" s="37"/>
      <c r="J378" s="37"/>
      <c r="K378" s="37"/>
      <c r="L378" s="37"/>
      <c r="M378" s="37"/>
      <c r="N378" s="37"/>
      <c r="O378" s="37"/>
      <c r="P378" s="37"/>
      <c r="Q378" s="37"/>
      <c r="R378" s="121"/>
      <c r="S378" s="122"/>
      <c r="T378" s="126"/>
    </row>
    <row r="380" spans="2:23" ht="18.75" customHeight="1" thickBot="1">
      <c r="B380" s="42"/>
      <c r="C380" s="42"/>
      <c r="D380" s="42"/>
      <c r="E380" s="42"/>
      <c r="F380" s="42"/>
      <c r="G380" s="42"/>
      <c r="H380" s="42"/>
      <c r="I380" s="42"/>
      <c r="J380" s="42"/>
      <c r="K380" s="42"/>
      <c r="L380" s="42"/>
      <c r="M380" s="42"/>
      <c r="N380" s="42"/>
      <c r="O380" s="42"/>
      <c r="P380" s="42"/>
      <c r="Q380" s="42"/>
      <c r="R380" s="42"/>
      <c r="S380" s="42"/>
      <c r="T380" s="42"/>
      <c r="U380" s="42"/>
    </row>
    <row r="382" spans="2:23" ht="18.75" customHeight="1">
      <c r="B382" s="43" t="s">
        <v>163</v>
      </c>
      <c r="C382" s="51" t="s">
        <v>4194</v>
      </c>
      <c r="D382" s="106"/>
      <c r="W382" s="35" t="str">
        <f>"-- "&amp;B382&amp;" : "&amp;C382</f>
        <v>-- SQL_ID : 41_18_06</v>
      </c>
    </row>
    <row r="383" spans="2:23" ht="18.75" customHeight="1">
      <c r="B383" s="43" t="s">
        <v>158</v>
      </c>
      <c r="C383" s="127" t="str">
        <f>R386&amp;"登録"</f>
        <v>ワーク_テキスト情報_一時登録</v>
      </c>
      <c r="D383" s="128"/>
      <c r="E383" s="128"/>
      <c r="F383" s="128"/>
      <c r="G383" s="128"/>
      <c r="H383" s="128"/>
      <c r="I383" s="128"/>
      <c r="J383" s="128"/>
      <c r="K383" s="128"/>
      <c r="L383" s="128"/>
      <c r="M383" s="128"/>
      <c r="N383" s="128"/>
      <c r="O383" s="128"/>
      <c r="P383" s="128"/>
      <c r="Q383" s="128"/>
      <c r="R383" s="128"/>
      <c r="S383" s="128"/>
      <c r="T383" s="128"/>
      <c r="U383" s="129"/>
      <c r="W383" s="35" t="str">
        <f>"-- "&amp;C383</f>
        <v>-- ワーク_テキスト情報_一時登録</v>
      </c>
    </row>
    <row r="384" spans="2:23" ht="18.75" customHeight="1">
      <c r="B384" s="43" t="s">
        <v>159</v>
      </c>
      <c r="C384" s="116" t="str">
        <f>"MMLのテキストデータを抽出し、"&amp;R386&amp;"テーブルに格納する。"</f>
        <v>MMLのテキストデータを抽出し、ワーク_テキスト情報_一時テーブルに格納する。</v>
      </c>
      <c r="D384" s="117"/>
      <c r="E384" s="117"/>
      <c r="F384" s="117"/>
      <c r="G384" s="117"/>
      <c r="H384" s="117"/>
      <c r="I384" s="117"/>
      <c r="J384" s="117"/>
      <c r="K384" s="117"/>
      <c r="L384" s="117"/>
      <c r="M384" s="117"/>
      <c r="N384" s="117"/>
      <c r="O384" s="117"/>
      <c r="P384" s="117"/>
      <c r="Q384" s="117"/>
      <c r="R384" s="117"/>
      <c r="S384" s="117"/>
      <c r="T384" s="117"/>
      <c r="U384" s="118"/>
      <c r="W384" s="35" t="str">
        <f>"-- "&amp;C384</f>
        <v>-- MMLのテキストデータを抽出し、ワーク_テキスト情報_一時テーブルに格納する。</v>
      </c>
    </row>
    <row r="386" spans="2:23" ht="18.75" customHeight="1">
      <c r="C386" s="130" t="s">
        <v>4083</v>
      </c>
      <c r="D386" s="131"/>
      <c r="E386" s="125" t="str">
        <f>エンティティ一覧!$O$2</f>
        <v>milscm_2023_007</v>
      </c>
      <c r="F386" s="36"/>
      <c r="G386" s="36"/>
      <c r="H386" s="36"/>
      <c r="I386" s="36"/>
      <c r="J386" s="36"/>
      <c r="K386" s="36"/>
      <c r="L386" s="36"/>
      <c r="M386" s="36"/>
      <c r="N386" s="36"/>
      <c r="O386" s="36"/>
      <c r="R386" s="119" t="s">
        <v>4272</v>
      </c>
      <c r="S386" s="120"/>
      <c r="T386" s="125" t="str">
        <f>エンティティ一覧!$O$2</f>
        <v>milscm_2023_007</v>
      </c>
    </row>
    <row r="387" spans="2:23" ht="18.75" customHeight="1">
      <c r="C387" s="132"/>
      <c r="D387" s="133"/>
      <c r="E387" s="126"/>
      <c r="F387" s="37"/>
      <c r="G387" s="37"/>
      <c r="H387" s="37"/>
      <c r="I387" s="37"/>
      <c r="J387" s="37"/>
      <c r="K387" s="37"/>
      <c r="L387" s="37"/>
      <c r="M387" s="37"/>
      <c r="N387" s="37"/>
      <c r="O387" s="37"/>
      <c r="P387" s="37"/>
      <c r="Q387" s="37"/>
      <c r="R387" s="121"/>
      <c r="S387" s="122"/>
      <c r="T387" s="126"/>
    </row>
    <row r="389" spans="2:23" ht="18.75" customHeight="1" thickBot="1">
      <c r="B389" s="42"/>
      <c r="C389" s="42"/>
      <c r="D389" s="42"/>
      <c r="E389" s="42"/>
      <c r="F389" s="42"/>
      <c r="G389" s="42"/>
      <c r="H389" s="42"/>
      <c r="I389" s="42"/>
      <c r="J389" s="42"/>
      <c r="K389" s="42"/>
      <c r="L389" s="42"/>
      <c r="M389" s="42"/>
      <c r="N389" s="42"/>
      <c r="O389" s="42"/>
      <c r="P389" s="42"/>
      <c r="Q389" s="42"/>
      <c r="R389" s="42"/>
      <c r="S389" s="42"/>
      <c r="T389" s="42"/>
      <c r="U389" s="42"/>
    </row>
    <row r="391" spans="2:23" ht="18.75" customHeight="1">
      <c r="B391" s="43" t="s">
        <v>163</v>
      </c>
      <c r="C391" s="51" t="s">
        <v>4193</v>
      </c>
      <c r="D391" s="106"/>
      <c r="W391" s="35" t="str">
        <f>"-- "&amp;B391&amp;" : "&amp;C391</f>
        <v>-- SQL_ID : 41_18_07</v>
      </c>
    </row>
    <row r="392" spans="2:23" ht="18.75" customHeight="1">
      <c r="B392" s="43" t="s">
        <v>158</v>
      </c>
      <c r="C392" s="127" t="str">
        <f>R395&amp;"登録"</f>
        <v>ワーク_テキスト情報_一時登録</v>
      </c>
      <c r="D392" s="128"/>
      <c r="E392" s="128"/>
      <c r="F392" s="128"/>
      <c r="G392" s="128"/>
      <c r="H392" s="128"/>
      <c r="I392" s="128"/>
      <c r="J392" s="128"/>
      <c r="K392" s="128"/>
      <c r="L392" s="128"/>
      <c r="M392" s="128"/>
      <c r="N392" s="128"/>
      <c r="O392" s="128"/>
      <c r="P392" s="128"/>
      <c r="Q392" s="128"/>
      <c r="R392" s="128"/>
      <c r="S392" s="128"/>
      <c r="T392" s="128"/>
      <c r="U392" s="129"/>
      <c r="W392" s="35" t="str">
        <f>"-- "&amp;C392</f>
        <v>-- ワーク_テキスト情報_一時登録</v>
      </c>
    </row>
    <row r="393" spans="2:23" ht="18.75" customHeight="1">
      <c r="B393" s="43" t="s">
        <v>159</v>
      </c>
      <c r="C393" s="116" t="str">
        <f>"MMLのテキストデータを抽出し、"&amp;R395&amp;"テーブルに格納する。"</f>
        <v>MMLのテキストデータを抽出し、ワーク_テキスト情報_一時テーブルに格納する。</v>
      </c>
      <c r="D393" s="117"/>
      <c r="E393" s="117"/>
      <c r="F393" s="117"/>
      <c r="G393" s="117"/>
      <c r="H393" s="117"/>
      <c r="I393" s="117"/>
      <c r="J393" s="117"/>
      <c r="K393" s="117"/>
      <c r="L393" s="117"/>
      <c r="M393" s="117"/>
      <c r="N393" s="117"/>
      <c r="O393" s="117"/>
      <c r="P393" s="117"/>
      <c r="Q393" s="117"/>
      <c r="R393" s="117"/>
      <c r="S393" s="117"/>
      <c r="T393" s="117"/>
      <c r="U393" s="118"/>
      <c r="W393" s="35" t="str">
        <f>"-- "&amp;C393</f>
        <v>-- MMLのテキストデータを抽出し、ワーク_テキスト情報_一時テーブルに格納する。</v>
      </c>
    </row>
    <row r="395" spans="2:23" ht="18.75" customHeight="1">
      <c r="C395" s="130" t="s">
        <v>4083</v>
      </c>
      <c r="D395" s="131"/>
      <c r="E395" s="125" t="str">
        <f>エンティティ一覧!$O$2</f>
        <v>milscm_2023_007</v>
      </c>
      <c r="F395" s="36"/>
      <c r="G395" s="36"/>
      <c r="H395" s="36"/>
      <c r="I395" s="36"/>
      <c r="J395" s="36"/>
      <c r="K395" s="36"/>
      <c r="L395" s="36"/>
      <c r="M395" s="36"/>
      <c r="N395" s="36"/>
      <c r="O395" s="36"/>
      <c r="R395" s="119" t="s">
        <v>4272</v>
      </c>
      <c r="S395" s="120"/>
      <c r="T395" s="125" t="str">
        <f>エンティティ一覧!$O$2</f>
        <v>milscm_2023_007</v>
      </c>
    </row>
    <row r="396" spans="2:23" ht="18.75" customHeight="1">
      <c r="C396" s="132"/>
      <c r="D396" s="133"/>
      <c r="E396" s="126"/>
      <c r="F396" s="37"/>
      <c r="G396" s="37"/>
      <c r="H396" s="37"/>
      <c r="I396" s="37"/>
      <c r="J396" s="37"/>
      <c r="K396" s="37"/>
      <c r="L396" s="37"/>
      <c r="M396" s="37"/>
      <c r="N396" s="37"/>
      <c r="O396" s="37"/>
      <c r="P396" s="37"/>
      <c r="Q396" s="37"/>
      <c r="R396" s="121"/>
      <c r="S396" s="122"/>
      <c r="T396" s="126"/>
    </row>
    <row r="398" spans="2:23" ht="18.75" customHeight="1" thickBot="1">
      <c r="B398" s="42"/>
      <c r="C398" s="42"/>
      <c r="D398" s="42"/>
      <c r="E398" s="42"/>
      <c r="F398" s="42"/>
      <c r="G398" s="42"/>
      <c r="H398" s="42"/>
      <c r="I398" s="42"/>
      <c r="J398" s="42"/>
      <c r="K398" s="42"/>
      <c r="L398" s="42"/>
      <c r="M398" s="42"/>
      <c r="N398" s="42"/>
      <c r="O398" s="42"/>
      <c r="P398" s="42"/>
      <c r="Q398" s="42"/>
      <c r="R398" s="42"/>
      <c r="S398" s="42"/>
      <c r="T398" s="42"/>
      <c r="U398" s="42"/>
    </row>
    <row r="400" spans="2:23" ht="18.75" customHeight="1">
      <c r="B400" s="43" t="s">
        <v>163</v>
      </c>
      <c r="C400" s="51" t="s">
        <v>4195</v>
      </c>
      <c r="D400" s="106"/>
      <c r="W400" s="35" t="str">
        <f>"-- "&amp;B400&amp;" : "&amp;C400</f>
        <v>-- SQL_ID : 41_18_08</v>
      </c>
    </row>
    <row r="401" spans="2:23" ht="18.75" customHeight="1">
      <c r="B401" s="43" t="s">
        <v>158</v>
      </c>
      <c r="C401" s="127" t="str">
        <f>R404&amp;"登録"</f>
        <v>ワーク_テキスト情報_一時登録</v>
      </c>
      <c r="D401" s="128"/>
      <c r="E401" s="128"/>
      <c r="F401" s="128"/>
      <c r="G401" s="128"/>
      <c r="H401" s="128"/>
      <c r="I401" s="128"/>
      <c r="J401" s="128"/>
      <c r="K401" s="128"/>
      <c r="L401" s="128"/>
      <c r="M401" s="128"/>
      <c r="N401" s="128"/>
      <c r="O401" s="128"/>
      <c r="P401" s="128"/>
      <c r="Q401" s="128"/>
      <c r="R401" s="128"/>
      <c r="S401" s="128"/>
      <c r="T401" s="128"/>
      <c r="U401" s="129"/>
      <c r="W401" s="35" t="str">
        <f>"-- "&amp;C401</f>
        <v>-- ワーク_テキスト情報_一時登録</v>
      </c>
    </row>
    <row r="402" spans="2:23" ht="18.75" customHeight="1">
      <c r="B402" s="43" t="s">
        <v>159</v>
      </c>
      <c r="C402" s="116" t="str">
        <f>"MMLのテキストデータを抽出し、"&amp;R404&amp;"テーブルに格納する。"</f>
        <v>MMLのテキストデータを抽出し、ワーク_テキスト情報_一時テーブルに格納する。</v>
      </c>
      <c r="D402" s="117"/>
      <c r="E402" s="117"/>
      <c r="F402" s="117"/>
      <c r="G402" s="117"/>
      <c r="H402" s="117"/>
      <c r="I402" s="117"/>
      <c r="J402" s="117"/>
      <c r="K402" s="117"/>
      <c r="L402" s="117"/>
      <c r="M402" s="117"/>
      <c r="N402" s="117"/>
      <c r="O402" s="117"/>
      <c r="P402" s="117"/>
      <c r="Q402" s="117"/>
      <c r="R402" s="117"/>
      <c r="S402" s="117"/>
      <c r="T402" s="117"/>
      <c r="U402" s="118"/>
      <c r="W402" s="35" t="str">
        <f>"-- "&amp;C402</f>
        <v>-- MMLのテキストデータを抽出し、ワーク_テキスト情報_一時テーブルに格納する。</v>
      </c>
    </row>
    <row r="404" spans="2:23" ht="18.75" customHeight="1">
      <c r="C404" s="130" t="s">
        <v>4083</v>
      </c>
      <c r="D404" s="131"/>
      <c r="E404" s="125" t="str">
        <f>エンティティ一覧!$O$2</f>
        <v>milscm_2023_007</v>
      </c>
      <c r="F404" s="36"/>
      <c r="G404" s="36"/>
      <c r="H404" s="36"/>
      <c r="I404" s="36"/>
      <c r="J404" s="36"/>
      <c r="K404" s="36"/>
      <c r="L404" s="36"/>
      <c r="M404" s="36"/>
      <c r="N404" s="36"/>
      <c r="O404" s="36"/>
      <c r="R404" s="119" t="s">
        <v>4272</v>
      </c>
      <c r="S404" s="120"/>
      <c r="T404" s="125" t="str">
        <f>エンティティ一覧!$O$2</f>
        <v>milscm_2023_007</v>
      </c>
    </row>
    <row r="405" spans="2:23" ht="18.75" customHeight="1">
      <c r="C405" s="132"/>
      <c r="D405" s="133"/>
      <c r="E405" s="126"/>
      <c r="F405" s="37"/>
      <c r="G405" s="37"/>
      <c r="H405" s="37"/>
      <c r="I405" s="37"/>
      <c r="J405" s="37"/>
      <c r="K405" s="37"/>
      <c r="L405" s="37"/>
      <c r="M405" s="37"/>
      <c r="N405" s="37"/>
      <c r="O405" s="37"/>
      <c r="P405" s="37"/>
      <c r="Q405" s="37"/>
      <c r="R405" s="121"/>
      <c r="S405" s="122"/>
      <c r="T405" s="126"/>
    </row>
    <row r="407" spans="2:23" ht="18.75" customHeight="1" thickBot="1">
      <c r="B407" s="42"/>
      <c r="C407" s="42"/>
      <c r="D407" s="42"/>
      <c r="E407" s="42"/>
      <c r="F407" s="42"/>
      <c r="G407" s="42"/>
      <c r="H407" s="42"/>
      <c r="I407" s="42"/>
      <c r="J407" s="42"/>
      <c r="K407" s="42"/>
      <c r="L407" s="42"/>
      <c r="M407" s="42"/>
      <c r="N407" s="42"/>
      <c r="O407" s="42"/>
      <c r="P407" s="42"/>
      <c r="Q407" s="42"/>
      <c r="R407" s="42"/>
      <c r="S407" s="42"/>
      <c r="T407" s="42"/>
      <c r="U407" s="42"/>
    </row>
    <row r="409" spans="2:23" ht="18.75" customHeight="1">
      <c r="B409" s="43" t="s">
        <v>163</v>
      </c>
      <c r="C409" s="51" t="s">
        <v>4196</v>
      </c>
      <c r="D409" s="106"/>
      <c r="W409" s="35" t="str">
        <f>"-- "&amp;B409&amp;" : "&amp;C409</f>
        <v>-- SQL_ID : 41_18_09</v>
      </c>
    </row>
    <row r="410" spans="2:23" ht="18.75" customHeight="1">
      <c r="B410" s="43" t="s">
        <v>158</v>
      </c>
      <c r="C410" s="127" t="str">
        <f>R413&amp;"登録"</f>
        <v>ワーク_テキスト情報_一時登録</v>
      </c>
      <c r="D410" s="128"/>
      <c r="E410" s="128"/>
      <c r="F410" s="128"/>
      <c r="G410" s="128"/>
      <c r="H410" s="128"/>
      <c r="I410" s="128"/>
      <c r="J410" s="128"/>
      <c r="K410" s="128"/>
      <c r="L410" s="128"/>
      <c r="M410" s="128"/>
      <c r="N410" s="128"/>
      <c r="O410" s="128"/>
      <c r="P410" s="128"/>
      <c r="Q410" s="128"/>
      <c r="R410" s="128"/>
      <c r="S410" s="128"/>
      <c r="T410" s="128"/>
      <c r="U410" s="129"/>
      <c r="W410" s="35" t="str">
        <f>"-- "&amp;C410</f>
        <v>-- ワーク_テキスト情報_一時登録</v>
      </c>
    </row>
    <row r="411" spans="2:23" ht="18.75" customHeight="1">
      <c r="B411" s="43" t="s">
        <v>159</v>
      </c>
      <c r="C411" s="116" t="str">
        <f>"MMLのテキストデータを抽出し、"&amp;R413&amp;"テーブルに格納する。"</f>
        <v>MMLのテキストデータを抽出し、ワーク_テキスト情報_一時テーブルに格納する。</v>
      </c>
      <c r="D411" s="117"/>
      <c r="E411" s="117"/>
      <c r="F411" s="117"/>
      <c r="G411" s="117"/>
      <c r="H411" s="117"/>
      <c r="I411" s="117"/>
      <c r="J411" s="117"/>
      <c r="K411" s="117"/>
      <c r="L411" s="117"/>
      <c r="M411" s="117"/>
      <c r="N411" s="117"/>
      <c r="O411" s="117"/>
      <c r="P411" s="117"/>
      <c r="Q411" s="117"/>
      <c r="R411" s="117"/>
      <c r="S411" s="117"/>
      <c r="T411" s="117"/>
      <c r="U411" s="118"/>
      <c r="W411" s="35" t="str">
        <f>"-- "&amp;C411</f>
        <v>-- MMLのテキストデータを抽出し、ワーク_テキスト情報_一時テーブルに格納する。</v>
      </c>
    </row>
    <row r="413" spans="2:23" ht="18.75" customHeight="1">
      <c r="C413" s="130" t="s">
        <v>4084</v>
      </c>
      <c r="D413" s="131"/>
      <c r="E413" s="125" t="str">
        <f>エンティティ一覧!$O$2</f>
        <v>milscm_2023_007</v>
      </c>
      <c r="F413" s="36"/>
      <c r="G413" s="36"/>
      <c r="H413" s="36"/>
      <c r="I413" s="36"/>
      <c r="J413" s="36"/>
      <c r="K413" s="36"/>
      <c r="L413" s="36"/>
      <c r="M413" s="36"/>
      <c r="N413" s="36"/>
      <c r="O413" s="36"/>
      <c r="R413" s="119" t="s">
        <v>4272</v>
      </c>
      <c r="S413" s="120"/>
      <c r="T413" s="125" t="str">
        <f>エンティティ一覧!$O$2</f>
        <v>milscm_2023_007</v>
      </c>
    </row>
    <row r="414" spans="2:23" ht="18.75" customHeight="1">
      <c r="C414" s="132"/>
      <c r="D414" s="133"/>
      <c r="E414" s="126"/>
      <c r="F414" s="37"/>
      <c r="G414" s="37"/>
      <c r="H414" s="37"/>
      <c r="I414" s="37"/>
      <c r="J414" s="37"/>
      <c r="K414" s="37"/>
      <c r="L414" s="37"/>
      <c r="M414" s="37"/>
      <c r="N414" s="37"/>
      <c r="O414" s="37"/>
      <c r="P414" s="37"/>
      <c r="Q414" s="37"/>
      <c r="R414" s="121"/>
      <c r="S414" s="122"/>
      <c r="T414" s="126"/>
    </row>
    <row r="416" spans="2:23" ht="18.75" customHeight="1" thickBot="1">
      <c r="B416" s="42"/>
      <c r="C416" s="42"/>
      <c r="D416" s="42"/>
      <c r="E416" s="42"/>
      <c r="F416" s="42"/>
      <c r="G416" s="42"/>
      <c r="H416" s="42"/>
      <c r="I416" s="42"/>
      <c r="J416" s="42"/>
      <c r="K416" s="42"/>
      <c r="L416" s="42"/>
      <c r="M416" s="42"/>
      <c r="N416" s="42"/>
      <c r="O416" s="42"/>
      <c r="P416" s="42"/>
      <c r="Q416" s="42"/>
      <c r="R416" s="42"/>
      <c r="S416" s="42"/>
      <c r="T416" s="42"/>
      <c r="U416" s="42"/>
    </row>
    <row r="418" spans="2:23" ht="18.75" customHeight="1">
      <c r="B418" s="43" t="s">
        <v>163</v>
      </c>
      <c r="C418" s="51" t="s">
        <v>4197</v>
      </c>
      <c r="D418" s="106"/>
      <c r="W418" s="35" t="str">
        <f>"-- "&amp;B418&amp;" : "&amp;C418</f>
        <v>-- SQL_ID : 41_18_10</v>
      </c>
    </row>
    <row r="419" spans="2:23" ht="18.75" customHeight="1">
      <c r="B419" s="43" t="s">
        <v>158</v>
      </c>
      <c r="C419" s="127" t="str">
        <f>R422&amp;"登録"</f>
        <v>ワーク_テキスト情報_一時登録</v>
      </c>
      <c r="D419" s="128"/>
      <c r="E419" s="128"/>
      <c r="F419" s="128"/>
      <c r="G419" s="128"/>
      <c r="H419" s="128"/>
      <c r="I419" s="128"/>
      <c r="J419" s="128"/>
      <c r="K419" s="128"/>
      <c r="L419" s="128"/>
      <c r="M419" s="128"/>
      <c r="N419" s="128"/>
      <c r="O419" s="128"/>
      <c r="P419" s="128"/>
      <c r="Q419" s="128"/>
      <c r="R419" s="128"/>
      <c r="S419" s="128"/>
      <c r="T419" s="128"/>
      <c r="U419" s="129"/>
      <c r="W419" s="35" t="str">
        <f>"-- "&amp;C419</f>
        <v>-- ワーク_テキスト情報_一時登録</v>
      </c>
    </row>
    <row r="420" spans="2:23" ht="18.75" customHeight="1">
      <c r="B420" s="43" t="s">
        <v>159</v>
      </c>
      <c r="C420" s="116" t="str">
        <f>"MMLのテキストデータを抽出し、"&amp;R422&amp;"テーブルに格納する。"</f>
        <v>MMLのテキストデータを抽出し、ワーク_テキスト情報_一時テーブルに格納する。</v>
      </c>
      <c r="D420" s="117"/>
      <c r="E420" s="117"/>
      <c r="F420" s="117"/>
      <c r="G420" s="117"/>
      <c r="H420" s="117"/>
      <c r="I420" s="117"/>
      <c r="J420" s="117"/>
      <c r="K420" s="117"/>
      <c r="L420" s="117"/>
      <c r="M420" s="117"/>
      <c r="N420" s="117"/>
      <c r="O420" s="117"/>
      <c r="P420" s="117"/>
      <c r="Q420" s="117"/>
      <c r="R420" s="117"/>
      <c r="S420" s="117"/>
      <c r="T420" s="117"/>
      <c r="U420" s="118"/>
      <c r="W420" s="35" t="str">
        <f>"-- "&amp;C420</f>
        <v>-- MMLのテキストデータを抽出し、ワーク_テキスト情報_一時テーブルに格納する。</v>
      </c>
    </row>
    <row r="422" spans="2:23" ht="18.75" customHeight="1">
      <c r="C422" s="130" t="s">
        <v>4084</v>
      </c>
      <c r="D422" s="131"/>
      <c r="E422" s="125" t="str">
        <f>エンティティ一覧!$O$2</f>
        <v>milscm_2023_007</v>
      </c>
      <c r="F422" s="36"/>
      <c r="G422" s="36"/>
      <c r="H422" s="36"/>
      <c r="I422" s="36"/>
      <c r="J422" s="36"/>
      <c r="K422" s="36"/>
      <c r="L422" s="36"/>
      <c r="M422" s="36"/>
      <c r="N422" s="36"/>
      <c r="O422" s="36"/>
      <c r="R422" s="119" t="s">
        <v>4272</v>
      </c>
      <c r="S422" s="120"/>
      <c r="T422" s="125" t="str">
        <f>エンティティ一覧!$O$2</f>
        <v>milscm_2023_007</v>
      </c>
    </row>
    <row r="423" spans="2:23" ht="18.75" customHeight="1">
      <c r="C423" s="132"/>
      <c r="D423" s="133"/>
      <c r="E423" s="126"/>
      <c r="F423" s="37"/>
      <c r="G423" s="37"/>
      <c r="H423" s="37"/>
      <c r="I423" s="37"/>
      <c r="J423" s="37"/>
      <c r="K423" s="37"/>
      <c r="L423" s="37"/>
      <c r="M423" s="37"/>
      <c r="N423" s="37"/>
      <c r="O423" s="37"/>
      <c r="P423" s="37"/>
      <c r="Q423" s="37"/>
      <c r="R423" s="121"/>
      <c r="S423" s="122"/>
      <c r="T423" s="126"/>
    </row>
    <row r="425" spans="2:23" ht="18.75" customHeight="1" thickBot="1">
      <c r="B425" s="42"/>
      <c r="C425" s="42"/>
      <c r="D425" s="42"/>
      <c r="E425" s="42"/>
      <c r="F425" s="42"/>
      <c r="G425" s="42"/>
      <c r="H425" s="42"/>
      <c r="I425" s="42"/>
      <c r="J425" s="42"/>
      <c r="K425" s="42"/>
      <c r="L425" s="42"/>
      <c r="M425" s="42"/>
      <c r="N425" s="42"/>
      <c r="O425" s="42"/>
      <c r="P425" s="42"/>
      <c r="Q425" s="42"/>
      <c r="R425" s="42"/>
      <c r="S425" s="42"/>
      <c r="T425" s="42"/>
      <c r="U425" s="42"/>
    </row>
    <row r="427" spans="2:23" ht="18.75" customHeight="1">
      <c r="B427" s="43" t="s">
        <v>163</v>
      </c>
      <c r="C427" s="51" t="s">
        <v>4198</v>
      </c>
      <c r="D427" s="106"/>
      <c r="W427" s="35" t="str">
        <f>"-- "&amp;B427&amp;" : "&amp;C427</f>
        <v>-- SQL_ID : 41_18_11</v>
      </c>
    </row>
    <row r="428" spans="2:23" ht="18.75" customHeight="1">
      <c r="B428" s="43" t="s">
        <v>158</v>
      </c>
      <c r="C428" s="127" t="str">
        <f>R431&amp;"登録"</f>
        <v>ワーク_テキスト情報_一時登録</v>
      </c>
      <c r="D428" s="128"/>
      <c r="E428" s="128"/>
      <c r="F428" s="128"/>
      <c r="G428" s="128"/>
      <c r="H428" s="128"/>
      <c r="I428" s="128"/>
      <c r="J428" s="128"/>
      <c r="K428" s="128"/>
      <c r="L428" s="128"/>
      <c r="M428" s="128"/>
      <c r="N428" s="128"/>
      <c r="O428" s="128"/>
      <c r="P428" s="128"/>
      <c r="Q428" s="128"/>
      <c r="R428" s="128"/>
      <c r="S428" s="128"/>
      <c r="T428" s="128"/>
      <c r="U428" s="129"/>
      <c r="W428" s="35" t="str">
        <f>"-- "&amp;C428</f>
        <v>-- ワーク_テキスト情報_一時登録</v>
      </c>
    </row>
    <row r="429" spans="2:23" ht="18.75" customHeight="1">
      <c r="B429" s="43" t="s">
        <v>159</v>
      </c>
      <c r="C429" s="116" t="str">
        <f>"MMLのテキストデータを抽出し、"&amp;R431&amp;"テーブルに格納する。"</f>
        <v>MMLのテキストデータを抽出し、ワーク_テキスト情報_一時テーブルに格納する。</v>
      </c>
      <c r="D429" s="117"/>
      <c r="E429" s="117"/>
      <c r="F429" s="117"/>
      <c r="G429" s="117"/>
      <c r="H429" s="117"/>
      <c r="I429" s="117"/>
      <c r="J429" s="117"/>
      <c r="K429" s="117"/>
      <c r="L429" s="117"/>
      <c r="M429" s="117"/>
      <c r="N429" s="117"/>
      <c r="O429" s="117"/>
      <c r="P429" s="117"/>
      <c r="Q429" s="117"/>
      <c r="R429" s="117"/>
      <c r="S429" s="117"/>
      <c r="T429" s="117"/>
      <c r="U429" s="118"/>
      <c r="W429" s="35" t="str">
        <f>"-- "&amp;C429</f>
        <v>-- MMLのテキストデータを抽出し、ワーク_テキスト情報_一時テーブルに格納する。</v>
      </c>
    </row>
    <row r="431" spans="2:23" ht="18.75" customHeight="1">
      <c r="C431" s="130" t="s">
        <v>4084</v>
      </c>
      <c r="D431" s="131"/>
      <c r="E431" s="125" t="str">
        <f>エンティティ一覧!$O$2</f>
        <v>milscm_2023_007</v>
      </c>
      <c r="F431" s="36"/>
      <c r="G431" s="36"/>
      <c r="H431" s="36"/>
      <c r="I431" s="36"/>
      <c r="J431" s="36"/>
      <c r="K431" s="36"/>
      <c r="L431" s="36"/>
      <c r="M431" s="36"/>
      <c r="N431" s="36"/>
      <c r="O431" s="36"/>
      <c r="R431" s="119" t="s">
        <v>4272</v>
      </c>
      <c r="S431" s="120"/>
      <c r="T431" s="125" t="str">
        <f>エンティティ一覧!$O$2</f>
        <v>milscm_2023_007</v>
      </c>
    </row>
    <row r="432" spans="2:23" ht="18.75" customHeight="1">
      <c r="C432" s="132"/>
      <c r="D432" s="133"/>
      <c r="E432" s="126"/>
      <c r="F432" s="37"/>
      <c r="G432" s="37"/>
      <c r="H432" s="37"/>
      <c r="I432" s="37"/>
      <c r="J432" s="37"/>
      <c r="K432" s="37"/>
      <c r="L432" s="37"/>
      <c r="M432" s="37"/>
      <c r="N432" s="37"/>
      <c r="O432" s="37"/>
      <c r="P432" s="37"/>
      <c r="Q432" s="37"/>
      <c r="R432" s="121"/>
      <c r="S432" s="122"/>
      <c r="T432" s="126"/>
    </row>
    <row r="434" spans="2:23" ht="18.75" customHeight="1" thickBot="1">
      <c r="B434" s="42"/>
      <c r="C434" s="42"/>
      <c r="D434" s="42"/>
      <c r="E434" s="42"/>
      <c r="F434" s="42"/>
      <c r="G434" s="42"/>
      <c r="H434" s="42"/>
      <c r="I434" s="42"/>
      <c r="J434" s="42"/>
      <c r="K434" s="42"/>
      <c r="L434" s="42"/>
      <c r="M434" s="42"/>
      <c r="N434" s="42"/>
      <c r="O434" s="42"/>
      <c r="P434" s="42"/>
      <c r="Q434" s="42"/>
      <c r="R434" s="42"/>
      <c r="S434" s="42"/>
      <c r="T434" s="42"/>
      <c r="U434" s="42"/>
    </row>
    <row r="436" spans="2:23" ht="18.75" customHeight="1">
      <c r="B436" s="43" t="s">
        <v>163</v>
      </c>
      <c r="C436" s="51" t="s">
        <v>4199</v>
      </c>
      <c r="D436" s="106"/>
      <c r="W436" s="35" t="str">
        <f>"-- "&amp;B436&amp;" : "&amp;C436</f>
        <v>-- SQL_ID : 41_18_12</v>
      </c>
    </row>
    <row r="437" spans="2:23" ht="18.75" customHeight="1">
      <c r="B437" s="43" t="s">
        <v>158</v>
      </c>
      <c r="C437" s="127" t="str">
        <f>R440&amp;"登録"</f>
        <v>ワーク_テキスト情報_一時登録</v>
      </c>
      <c r="D437" s="128"/>
      <c r="E437" s="128"/>
      <c r="F437" s="128"/>
      <c r="G437" s="128"/>
      <c r="H437" s="128"/>
      <c r="I437" s="128"/>
      <c r="J437" s="128"/>
      <c r="K437" s="128"/>
      <c r="L437" s="128"/>
      <c r="M437" s="128"/>
      <c r="N437" s="128"/>
      <c r="O437" s="128"/>
      <c r="P437" s="128"/>
      <c r="Q437" s="128"/>
      <c r="R437" s="128"/>
      <c r="S437" s="128"/>
      <c r="T437" s="128"/>
      <c r="U437" s="129"/>
      <c r="W437" s="35" t="str">
        <f>"-- "&amp;C437</f>
        <v>-- ワーク_テキスト情報_一時登録</v>
      </c>
    </row>
    <row r="438" spans="2:23" ht="18.75" customHeight="1">
      <c r="B438" s="43" t="s">
        <v>159</v>
      </c>
      <c r="C438" s="116" t="str">
        <f>"MMLのテキストデータを抽出し、"&amp;R440&amp;"テーブルに格納する。"</f>
        <v>MMLのテキストデータを抽出し、ワーク_テキスト情報_一時テーブルに格納する。</v>
      </c>
      <c r="D438" s="117"/>
      <c r="E438" s="117"/>
      <c r="F438" s="117"/>
      <c r="G438" s="117"/>
      <c r="H438" s="117"/>
      <c r="I438" s="117"/>
      <c r="J438" s="117"/>
      <c r="K438" s="117"/>
      <c r="L438" s="117"/>
      <c r="M438" s="117"/>
      <c r="N438" s="117"/>
      <c r="O438" s="117"/>
      <c r="P438" s="117"/>
      <c r="Q438" s="117"/>
      <c r="R438" s="117"/>
      <c r="S438" s="117"/>
      <c r="T438" s="117"/>
      <c r="U438" s="118"/>
      <c r="W438" s="35" t="str">
        <f>"-- "&amp;C438</f>
        <v>-- MMLのテキストデータを抽出し、ワーク_テキスト情報_一時テーブルに格納する。</v>
      </c>
    </row>
    <row r="440" spans="2:23" ht="18.75" customHeight="1">
      <c r="C440" s="130" t="s">
        <v>4084</v>
      </c>
      <c r="D440" s="131"/>
      <c r="E440" s="125" t="str">
        <f>エンティティ一覧!$O$2</f>
        <v>milscm_2023_007</v>
      </c>
      <c r="F440" s="36"/>
      <c r="G440" s="36"/>
      <c r="H440" s="36"/>
      <c r="I440" s="36"/>
      <c r="J440" s="36"/>
      <c r="K440" s="36"/>
      <c r="L440" s="36"/>
      <c r="M440" s="36"/>
      <c r="N440" s="36"/>
      <c r="O440" s="36"/>
      <c r="R440" s="119" t="s">
        <v>4272</v>
      </c>
      <c r="S440" s="120"/>
      <c r="T440" s="125" t="str">
        <f>エンティティ一覧!$O$2</f>
        <v>milscm_2023_007</v>
      </c>
    </row>
    <row r="441" spans="2:23" ht="18.75" customHeight="1">
      <c r="C441" s="132"/>
      <c r="D441" s="133"/>
      <c r="E441" s="126"/>
      <c r="F441" s="37"/>
      <c r="G441" s="37"/>
      <c r="H441" s="37"/>
      <c r="I441" s="37"/>
      <c r="J441" s="37"/>
      <c r="K441" s="37"/>
      <c r="L441" s="37"/>
      <c r="M441" s="37"/>
      <c r="N441" s="37"/>
      <c r="O441" s="37"/>
      <c r="P441" s="37"/>
      <c r="Q441" s="37"/>
      <c r="R441" s="121"/>
      <c r="S441" s="122"/>
      <c r="T441" s="126"/>
    </row>
    <row r="443" spans="2:23" ht="18.75" customHeight="1" thickBot="1">
      <c r="B443" s="42"/>
      <c r="C443" s="42"/>
      <c r="D443" s="42"/>
      <c r="E443" s="42"/>
      <c r="F443" s="42"/>
      <c r="G443" s="42"/>
      <c r="H443" s="42"/>
      <c r="I443" s="42"/>
      <c r="J443" s="42"/>
      <c r="K443" s="42"/>
      <c r="L443" s="42"/>
      <c r="M443" s="42"/>
      <c r="N443" s="42"/>
      <c r="O443" s="42"/>
      <c r="P443" s="42"/>
      <c r="Q443" s="42"/>
      <c r="R443" s="42"/>
      <c r="S443" s="42"/>
      <c r="T443" s="42"/>
      <c r="U443" s="42"/>
    </row>
    <row r="445" spans="2:23" ht="18.75" customHeight="1">
      <c r="B445" s="43" t="s">
        <v>163</v>
      </c>
      <c r="C445" s="51" t="s">
        <v>4200</v>
      </c>
      <c r="D445" s="106"/>
      <c r="W445" s="35" t="str">
        <f>"-- "&amp;B445&amp;" : "&amp;C445</f>
        <v>-- SQL_ID : 41_18_13</v>
      </c>
    </row>
    <row r="446" spans="2:23" ht="18.75" customHeight="1">
      <c r="B446" s="43" t="s">
        <v>158</v>
      </c>
      <c r="C446" s="127" t="str">
        <f>R449&amp;"登録"</f>
        <v>ワーク_テキスト情報_一時登録</v>
      </c>
      <c r="D446" s="128"/>
      <c r="E446" s="128"/>
      <c r="F446" s="128"/>
      <c r="G446" s="128"/>
      <c r="H446" s="128"/>
      <c r="I446" s="128"/>
      <c r="J446" s="128"/>
      <c r="K446" s="128"/>
      <c r="L446" s="128"/>
      <c r="M446" s="128"/>
      <c r="N446" s="128"/>
      <c r="O446" s="128"/>
      <c r="P446" s="128"/>
      <c r="Q446" s="128"/>
      <c r="R446" s="128"/>
      <c r="S446" s="128"/>
      <c r="T446" s="128"/>
      <c r="U446" s="129"/>
      <c r="W446" s="35" t="str">
        <f>"-- "&amp;C446</f>
        <v>-- ワーク_テキスト情報_一時登録</v>
      </c>
    </row>
    <row r="447" spans="2:23" ht="18.75" customHeight="1">
      <c r="B447" s="43" t="s">
        <v>159</v>
      </c>
      <c r="C447" s="116" t="str">
        <f>"MMLのテキストデータを抽出し、"&amp;R449&amp;"テーブルに格納する。"</f>
        <v>MMLのテキストデータを抽出し、ワーク_テキスト情報_一時テーブルに格納する。</v>
      </c>
      <c r="D447" s="117"/>
      <c r="E447" s="117"/>
      <c r="F447" s="117"/>
      <c r="G447" s="117"/>
      <c r="H447" s="117"/>
      <c r="I447" s="117"/>
      <c r="J447" s="117"/>
      <c r="K447" s="117"/>
      <c r="L447" s="117"/>
      <c r="M447" s="117"/>
      <c r="N447" s="117"/>
      <c r="O447" s="117"/>
      <c r="P447" s="117"/>
      <c r="Q447" s="117"/>
      <c r="R447" s="117"/>
      <c r="S447" s="117"/>
      <c r="T447" s="117"/>
      <c r="U447" s="118"/>
      <c r="W447" s="35" t="str">
        <f>"-- "&amp;C447</f>
        <v>-- MMLのテキストデータを抽出し、ワーク_テキスト情報_一時テーブルに格納する。</v>
      </c>
    </row>
    <row r="449" spans="2:23" ht="18.75" customHeight="1">
      <c r="C449" s="130" t="s">
        <v>4085</v>
      </c>
      <c r="D449" s="131"/>
      <c r="E449" s="125" t="str">
        <f>エンティティ一覧!$O$2</f>
        <v>milscm_2023_007</v>
      </c>
      <c r="F449" s="36"/>
      <c r="G449" s="36"/>
      <c r="H449" s="36"/>
      <c r="I449" s="36"/>
      <c r="J449" s="36"/>
      <c r="K449" s="36"/>
      <c r="L449" s="36"/>
      <c r="M449" s="36"/>
      <c r="N449" s="36"/>
      <c r="O449" s="36"/>
      <c r="R449" s="119" t="s">
        <v>4272</v>
      </c>
      <c r="S449" s="120"/>
      <c r="T449" s="125" t="str">
        <f>エンティティ一覧!$O$2</f>
        <v>milscm_2023_007</v>
      </c>
    </row>
    <row r="450" spans="2:23" ht="18.75" customHeight="1">
      <c r="C450" s="132"/>
      <c r="D450" s="133"/>
      <c r="E450" s="126"/>
      <c r="F450" s="37"/>
      <c r="G450" s="37"/>
      <c r="H450" s="37"/>
      <c r="I450" s="37"/>
      <c r="J450" s="37"/>
      <c r="K450" s="96"/>
      <c r="L450" s="37"/>
      <c r="M450" s="37"/>
      <c r="N450" s="37"/>
      <c r="O450" s="37"/>
      <c r="P450" s="37"/>
      <c r="Q450" s="37"/>
      <c r="R450" s="121"/>
      <c r="S450" s="122"/>
      <c r="T450" s="126"/>
    </row>
    <row r="451" spans="2:23" ht="18.75" customHeight="1">
      <c r="K451" s="95"/>
    </row>
    <row r="452" spans="2:23" ht="18.75" customHeight="1">
      <c r="C452" s="130" t="s">
        <v>4084</v>
      </c>
      <c r="D452" s="131"/>
      <c r="E452" s="125" t="str">
        <f>エンティティ一覧!$O$2</f>
        <v>milscm_2023_007</v>
      </c>
      <c r="F452" s="36"/>
      <c r="G452" s="36"/>
      <c r="H452" s="36"/>
      <c r="I452" s="36"/>
      <c r="J452" s="36"/>
      <c r="K452" s="107"/>
    </row>
    <row r="453" spans="2:23" ht="18.75" customHeight="1">
      <c r="C453" s="132"/>
      <c r="D453" s="133"/>
      <c r="E453" s="126"/>
      <c r="F453" s="37"/>
      <c r="G453" s="37"/>
      <c r="H453" s="37"/>
      <c r="I453" s="37"/>
      <c r="J453" s="37"/>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4201</v>
      </c>
      <c r="D456" s="108"/>
      <c r="W456" s="35" t="str">
        <f>"-- "&amp;B456&amp;" : "&amp;C456</f>
        <v>-- SQL_ID : 41_19</v>
      </c>
    </row>
    <row r="457" spans="2:23" ht="18.75" customHeight="1">
      <c r="B457" s="43" t="s">
        <v>158</v>
      </c>
      <c r="C457" s="127" t="str">
        <f>R460&amp;"登録"</f>
        <v>ワーク_テキスト情報登録</v>
      </c>
      <c r="D457" s="128"/>
      <c r="E457" s="128"/>
      <c r="F457" s="128"/>
      <c r="G457" s="128"/>
      <c r="H457" s="128"/>
      <c r="I457" s="128"/>
      <c r="J457" s="128"/>
      <c r="K457" s="128"/>
      <c r="L457" s="128"/>
      <c r="M457" s="128"/>
      <c r="N457" s="128"/>
      <c r="O457" s="128"/>
      <c r="P457" s="128"/>
      <c r="Q457" s="128"/>
      <c r="R457" s="128"/>
      <c r="S457" s="128"/>
      <c r="T457" s="128"/>
      <c r="U457" s="129"/>
      <c r="W457" s="35" t="str">
        <f>"-- "&amp;C457</f>
        <v>-- ワーク_テキスト情報登録</v>
      </c>
    </row>
    <row r="458" spans="2:23" ht="18.75" customHeight="1">
      <c r="B458" s="43" t="s">
        <v>159</v>
      </c>
      <c r="C458" s="116" t="str">
        <f>"MMLのテキストデータを抽出し、"&amp;R460&amp;"テーブルに格納する。"</f>
        <v>MMLのテキストデータを抽出し、ワーク_テキスト情報テーブルに格納する。</v>
      </c>
      <c r="D458" s="117"/>
      <c r="E458" s="117"/>
      <c r="F458" s="117"/>
      <c r="G458" s="117"/>
      <c r="H458" s="117"/>
      <c r="I458" s="117"/>
      <c r="J458" s="117"/>
      <c r="K458" s="117"/>
      <c r="L458" s="117"/>
      <c r="M458" s="117"/>
      <c r="N458" s="117"/>
      <c r="O458" s="117"/>
      <c r="P458" s="117"/>
      <c r="Q458" s="117"/>
      <c r="R458" s="117"/>
      <c r="S458" s="117"/>
      <c r="T458" s="117"/>
      <c r="U458" s="118"/>
      <c r="W458" s="35" t="str">
        <f>"-- "&amp;C458</f>
        <v>-- MMLのテキストデータを抽出し、ワーク_テキスト情報テーブルに格納する。</v>
      </c>
    </row>
    <row r="460" spans="2:23" ht="18.75" customHeight="1">
      <c r="C460" s="119" t="s">
        <v>4272</v>
      </c>
      <c r="D460" s="120"/>
      <c r="E460" s="125" t="str">
        <f>エンティティ一覧!$O$2</f>
        <v>milscm_2023_007</v>
      </c>
      <c r="F460" s="36"/>
      <c r="G460" s="36"/>
      <c r="H460" s="36"/>
      <c r="I460" s="36"/>
      <c r="J460" s="36"/>
      <c r="K460" s="36"/>
      <c r="L460" s="36"/>
      <c r="M460" s="36"/>
      <c r="N460" s="36"/>
      <c r="O460" s="36"/>
      <c r="R460" s="119" t="s">
        <v>4134</v>
      </c>
      <c r="S460" s="120"/>
      <c r="T460" s="125" t="str">
        <f>エンティティ一覧!$O$2</f>
        <v>milscm_2023_007</v>
      </c>
    </row>
    <row r="461" spans="2:23" ht="18.75" customHeight="1">
      <c r="C461" s="121"/>
      <c r="D461" s="122"/>
      <c r="E461" s="126"/>
      <c r="F461" s="37"/>
      <c r="G461" s="37"/>
      <c r="H461" s="37"/>
      <c r="I461" s="37"/>
      <c r="J461" s="37"/>
      <c r="K461" s="37"/>
      <c r="L461" s="37"/>
      <c r="M461" s="37"/>
      <c r="N461" s="37"/>
      <c r="O461" s="37"/>
      <c r="P461" s="37"/>
      <c r="Q461" s="38"/>
      <c r="R461" s="121"/>
      <c r="S461" s="122"/>
      <c r="T461" s="126"/>
    </row>
    <row r="462" spans="2:23" ht="18.75" customHeight="1">
      <c r="P462" s="39"/>
      <c r="Q462" s="40"/>
    </row>
    <row r="463" spans="2:23" ht="18.75" customHeight="1">
      <c r="H463" s="119" t="s">
        <v>3745</v>
      </c>
      <c r="I463" s="120"/>
      <c r="J463" s="125" t="str">
        <f>エンティティ一覧!$O$2</f>
        <v>milscm_2023_007</v>
      </c>
      <c r="M463" s="36"/>
      <c r="N463" s="36"/>
      <c r="O463" s="36"/>
      <c r="Q463" s="41"/>
    </row>
    <row r="464" spans="2:23" ht="18.75" customHeight="1">
      <c r="H464" s="121"/>
      <c r="I464" s="122"/>
      <c r="J464" s="126"/>
      <c r="K464" s="37"/>
      <c r="L464" s="38"/>
      <c r="M464" s="37"/>
      <c r="N464" s="37"/>
      <c r="O464" s="37"/>
      <c r="P464" s="37"/>
    </row>
    <row r="465" spans="2:21" ht="18.75" customHeight="1">
      <c r="K465" s="39"/>
      <c r="L465" s="40"/>
    </row>
    <row r="466" spans="2:21" ht="18.75" customHeight="1">
      <c r="H466" s="119" t="s">
        <v>185</v>
      </c>
      <c r="I466" s="120"/>
      <c r="J466" s="125" t="str">
        <f>エンティティ一覧!$O$2</f>
        <v>milscm_2023_007</v>
      </c>
      <c r="L466" s="41"/>
    </row>
    <row r="467" spans="2:21" ht="18.75" customHeight="1">
      <c r="H467" s="121"/>
      <c r="I467" s="122"/>
      <c r="J467" s="126"/>
      <c r="K467" s="37"/>
    </row>
    <row r="469" spans="2:21" ht="18.75" customHeight="1" thickBot="1">
      <c r="B469" s="42"/>
      <c r="C469" s="42"/>
      <c r="D469" s="42"/>
      <c r="E469" s="42"/>
      <c r="F469" s="42"/>
      <c r="G469" s="42"/>
      <c r="H469" s="42"/>
      <c r="I469" s="42"/>
      <c r="J469" s="42"/>
      <c r="K469" s="42"/>
      <c r="L469" s="42"/>
      <c r="M469" s="42"/>
      <c r="N469" s="42"/>
      <c r="O469" s="42"/>
      <c r="P469" s="42"/>
      <c r="Q469" s="42"/>
      <c r="R469" s="42"/>
      <c r="S469" s="42"/>
      <c r="T469" s="42"/>
      <c r="U469" s="42"/>
    </row>
  </sheetData>
  <mergeCells count="310">
    <mergeCell ref="C457:U457"/>
    <mergeCell ref="C458:U458"/>
    <mergeCell ref="C460:D461"/>
    <mergeCell ref="E460:E461"/>
    <mergeCell ref="R460:S461"/>
    <mergeCell ref="T460:T461"/>
    <mergeCell ref="H463:I464"/>
    <mergeCell ref="J463:J464"/>
    <mergeCell ref="H466:I467"/>
    <mergeCell ref="J466:J467"/>
    <mergeCell ref="C141:U141"/>
    <mergeCell ref="C143:D144"/>
    <mergeCell ref="E143:E144"/>
    <mergeCell ref="R143:S144"/>
    <mergeCell ref="T143:T144"/>
    <mergeCell ref="H146:I147"/>
    <mergeCell ref="J146:J147"/>
    <mergeCell ref="H149:I150"/>
    <mergeCell ref="J149:J150"/>
    <mergeCell ref="H131:I132"/>
    <mergeCell ref="J131:J132"/>
    <mergeCell ref="H134:I135"/>
    <mergeCell ref="J134:J135"/>
    <mergeCell ref="H113:I114"/>
    <mergeCell ref="J113:J114"/>
    <mergeCell ref="H116:I117"/>
    <mergeCell ref="J116:J117"/>
    <mergeCell ref="C140:U140"/>
    <mergeCell ref="C122:U122"/>
    <mergeCell ref="C123:U123"/>
    <mergeCell ref="C125:D126"/>
    <mergeCell ref="E125:E126"/>
    <mergeCell ref="R125:S126"/>
    <mergeCell ref="T125:T126"/>
    <mergeCell ref="J13:J14"/>
    <mergeCell ref="C4:U4"/>
    <mergeCell ref="C5:U5"/>
    <mergeCell ref="C7:D8"/>
    <mergeCell ref="E7:E8"/>
    <mergeCell ref="R7:S8"/>
    <mergeCell ref="T7:T8"/>
    <mergeCell ref="C10:D11"/>
    <mergeCell ref="E10:E11"/>
    <mergeCell ref="H13:I14"/>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C46:D47"/>
    <mergeCell ref="E46:E47"/>
    <mergeCell ref="C53:D54"/>
    <mergeCell ref="E53:E54"/>
    <mergeCell ref="C56:D57"/>
    <mergeCell ref="E56:E57"/>
    <mergeCell ref="C40:D41"/>
    <mergeCell ref="E40:E41"/>
    <mergeCell ref="R40:S41"/>
    <mergeCell ref="C71:U71"/>
    <mergeCell ref="C72:U72"/>
    <mergeCell ref="C74:D75"/>
    <mergeCell ref="E74:E75"/>
    <mergeCell ref="R74:S75"/>
    <mergeCell ref="T74:T75"/>
    <mergeCell ref="H59:I60"/>
    <mergeCell ref="J59:J60"/>
    <mergeCell ref="H62:I63"/>
    <mergeCell ref="J62:J63"/>
    <mergeCell ref="H65:I66"/>
    <mergeCell ref="J65:J66"/>
    <mergeCell ref="H110:I111"/>
    <mergeCell ref="J110:J111"/>
    <mergeCell ref="H98:I99"/>
    <mergeCell ref="J98:J99"/>
    <mergeCell ref="C95:D96"/>
    <mergeCell ref="C128:D129"/>
    <mergeCell ref="E128:E129"/>
    <mergeCell ref="H77:I78"/>
    <mergeCell ref="J77:J78"/>
    <mergeCell ref="H80:I81"/>
    <mergeCell ref="J80:J81"/>
    <mergeCell ref="E95:E96"/>
    <mergeCell ref="H107:I108"/>
    <mergeCell ref="J107:J108"/>
    <mergeCell ref="C104:D105"/>
    <mergeCell ref="E104:E105"/>
    <mergeCell ref="H83:I84"/>
    <mergeCell ref="J83:J84"/>
    <mergeCell ref="C89:U89"/>
    <mergeCell ref="C90:U90"/>
    <mergeCell ref="C92:D93"/>
    <mergeCell ref="E92:E93"/>
    <mergeCell ref="R92:S93"/>
    <mergeCell ref="T92:T93"/>
    <mergeCell ref="C101:D102"/>
    <mergeCell ref="E101:E102"/>
    <mergeCell ref="C356:U356"/>
    <mergeCell ref="C348:U348"/>
    <mergeCell ref="C350:D351"/>
    <mergeCell ref="E350:E351"/>
    <mergeCell ref="R350:S351"/>
    <mergeCell ref="T350:T351"/>
    <mergeCell ref="C347:U347"/>
    <mergeCell ref="C338:U338"/>
    <mergeCell ref="C339:U339"/>
    <mergeCell ref="C341:D342"/>
    <mergeCell ref="E341:E342"/>
    <mergeCell ref="R341:S342"/>
    <mergeCell ref="T341:T342"/>
    <mergeCell ref="R170:S171"/>
    <mergeCell ref="T170:T171"/>
    <mergeCell ref="H173:I174"/>
    <mergeCell ref="J173:J174"/>
    <mergeCell ref="C155:U155"/>
    <mergeCell ref="C156:U156"/>
    <mergeCell ref="C158:D159"/>
    <mergeCell ref="E158:E159"/>
    <mergeCell ref="R158:S159"/>
    <mergeCell ref="C374:U374"/>
    <mergeCell ref="C366:U366"/>
    <mergeCell ref="C368:D369"/>
    <mergeCell ref="E368:E369"/>
    <mergeCell ref="R368:S369"/>
    <mergeCell ref="T368:T369"/>
    <mergeCell ref="C365:U365"/>
    <mergeCell ref="C357:U357"/>
    <mergeCell ref="C359:D360"/>
    <mergeCell ref="E359:E360"/>
    <mergeCell ref="R359:S360"/>
    <mergeCell ref="T359:T360"/>
    <mergeCell ref="C392:U392"/>
    <mergeCell ref="C384:U384"/>
    <mergeCell ref="C386:D387"/>
    <mergeCell ref="E386:E387"/>
    <mergeCell ref="R386:S387"/>
    <mergeCell ref="T386:T387"/>
    <mergeCell ref="C383:U383"/>
    <mergeCell ref="C375:U375"/>
    <mergeCell ref="C377:D378"/>
    <mergeCell ref="E377:E378"/>
    <mergeCell ref="R377:S378"/>
    <mergeCell ref="T377:T378"/>
    <mergeCell ref="C410:U410"/>
    <mergeCell ref="C402:U402"/>
    <mergeCell ref="C404:D405"/>
    <mergeCell ref="E404:E405"/>
    <mergeCell ref="R404:S405"/>
    <mergeCell ref="T404:T405"/>
    <mergeCell ref="C401:U401"/>
    <mergeCell ref="C393:U393"/>
    <mergeCell ref="C395:D396"/>
    <mergeCell ref="E395:E396"/>
    <mergeCell ref="R395:S396"/>
    <mergeCell ref="T395:T396"/>
    <mergeCell ref="E422:E423"/>
    <mergeCell ref="R422:S423"/>
    <mergeCell ref="T422:T423"/>
    <mergeCell ref="C428:U428"/>
    <mergeCell ref="C419:U419"/>
    <mergeCell ref="C420:U420"/>
    <mergeCell ref="C411:U411"/>
    <mergeCell ref="C413:D414"/>
    <mergeCell ref="E413:E414"/>
    <mergeCell ref="R413:S414"/>
    <mergeCell ref="T413:T414"/>
    <mergeCell ref="C452:D453"/>
    <mergeCell ref="E452:E453"/>
    <mergeCell ref="C446:U446"/>
    <mergeCell ref="C447:U447"/>
    <mergeCell ref="C449:D450"/>
    <mergeCell ref="E449:E450"/>
    <mergeCell ref="R449:S450"/>
    <mergeCell ref="T449:T450"/>
    <mergeCell ref="C437:U437"/>
    <mergeCell ref="C438:U438"/>
    <mergeCell ref="C440:D441"/>
    <mergeCell ref="E440:E441"/>
    <mergeCell ref="R440:S441"/>
    <mergeCell ref="T440:T441"/>
    <mergeCell ref="C429:U429"/>
    <mergeCell ref="C431:D432"/>
    <mergeCell ref="E431:E432"/>
    <mergeCell ref="R431:S432"/>
    <mergeCell ref="T431:T432"/>
    <mergeCell ref="C422:D423"/>
    <mergeCell ref="H188:I189"/>
    <mergeCell ref="J188:J189"/>
    <mergeCell ref="H191:I192"/>
    <mergeCell ref="J191:J192"/>
    <mergeCell ref="C197:U197"/>
    <mergeCell ref="C198:U198"/>
    <mergeCell ref="C200:D201"/>
    <mergeCell ref="E200:E201"/>
    <mergeCell ref="R200:S201"/>
    <mergeCell ref="T200:T201"/>
    <mergeCell ref="C203:D204"/>
    <mergeCell ref="E203:E204"/>
    <mergeCell ref="C227:U227"/>
    <mergeCell ref="H215:I216"/>
    <mergeCell ref="J215:J216"/>
    <mergeCell ref="C209:U209"/>
    <mergeCell ref="C210:U210"/>
    <mergeCell ref="C212:D213"/>
    <mergeCell ref="T158:T159"/>
    <mergeCell ref="C161:D162"/>
    <mergeCell ref="E161:E162"/>
    <mergeCell ref="H176:I177"/>
    <mergeCell ref="J176:J177"/>
    <mergeCell ref="C182:U182"/>
    <mergeCell ref="C183:U183"/>
    <mergeCell ref="C185:D186"/>
    <mergeCell ref="E185:E186"/>
    <mergeCell ref="R185:S186"/>
    <mergeCell ref="T185:T186"/>
    <mergeCell ref="C167:U167"/>
    <mergeCell ref="C168:U168"/>
    <mergeCell ref="C170:D171"/>
    <mergeCell ref="E170:E171"/>
    <mergeCell ref="E212:E213"/>
    <mergeCell ref="R212:S213"/>
    <mergeCell ref="T212:T213"/>
    <mergeCell ref="H218:I219"/>
    <mergeCell ref="J218:J219"/>
    <mergeCell ref="H221:I222"/>
    <mergeCell ref="J221:J222"/>
    <mergeCell ref="C228:U228"/>
    <mergeCell ref="C230:D231"/>
    <mergeCell ref="E230:E231"/>
    <mergeCell ref="R230:S231"/>
    <mergeCell ref="T230:T231"/>
    <mergeCell ref="H236:I237"/>
    <mergeCell ref="J236:J237"/>
    <mergeCell ref="H239:I240"/>
    <mergeCell ref="J239:J240"/>
    <mergeCell ref="H233:I234"/>
    <mergeCell ref="J233:J234"/>
    <mergeCell ref="H257:I258"/>
    <mergeCell ref="J257:J258"/>
    <mergeCell ref="C245:U245"/>
    <mergeCell ref="C246:U246"/>
    <mergeCell ref="C248:D249"/>
    <mergeCell ref="E248:E249"/>
    <mergeCell ref="R248:S249"/>
    <mergeCell ref="T248:T249"/>
    <mergeCell ref="H251:I252"/>
    <mergeCell ref="J251:J252"/>
    <mergeCell ref="H254:I255"/>
    <mergeCell ref="J254:J255"/>
    <mergeCell ref="C263:U263"/>
    <mergeCell ref="C264:U264"/>
    <mergeCell ref="C266:D267"/>
    <mergeCell ref="E266:E267"/>
    <mergeCell ref="R266:S267"/>
    <mergeCell ref="T266:T267"/>
    <mergeCell ref="H284:I285"/>
    <mergeCell ref="J284:J285"/>
    <mergeCell ref="H287:I288"/>
    <mergeCell ref="J287:J288"/>
    <mergeCell ref="H269:I270"/>
    <mergeCell ref="J269:J270"/>
    <mergeCell ref="H272:I273"/>
    <mergeCell ref="J272:J273"/>
    <mergeCell ref="H275:I276"/>
    <mergeCell ref="J275:J276"/>
    <mergeCell ref="H278:I279"/>
    <mergeCell ref="J278:J279"/>
    <mergeCell ref="H281:I282"/>
    <mergeCell ref="J281:J282"/>
    <mergeCell ref="C293:U293"/>
    <mergeCell ref="C294:U294"/>
    <mergeCell ref="C296:D297"/>
    <mergeCell ref="E296:E297"/>
    <mergeCell ref="R296:S297"/>
    <mergeCell ref="T296:T297"/>
    <mergeCell ref="H302:I303"/>
    <mergeCell ref="J302:J303"/>
    <mergeCell ref="C326:U326"/>
    <mergeCell ref="E299:E300"/>
    <mergeCell ref="C299:D300"/>
    <mergeCell ref="H311:I312"/>
    <mergeCell ref="J311:J312"/>
    <mergeCell ref="H314:I315"/>
    <mergeCell ref="J314:J315"/>
    <mergeCell ref="H305:I306"/>
    <mergeCell ref="J305:J306"/>
    <mergeCell ref="C327:U327"/>
    <mergeCell ref="C329:D330"/>
    <mergeCell ref="E329:E330"/>
    <mergeCell ref="R329:S330"/>
    <mergeCell ref="T329:T330"/>
    <mergeCell ref="C332:D333"/>
    <mergeCell ref="E332:E333"/>
    <mergeCell ref="H308:I309"/>
    <mergeCell ref="J308:J309"/>
    <mergeCell ref="H317:I318"/>
    <mergeCell ref="J317:J318"/>
    <mergeCell ref="H320:I321"/>
    <mergeCell ref="J320:J32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35"/>
  <sheetViews>
    <sheetView showGridLines="0" tabSelected="1" zoomScaleNormal="100" workbookViewId="0">
      <pane xSplit="27" ySplit="5" topLeftCell="AB153" activePane="bottomRight" state="frozenSplit"/>
      <selection pane="topRight" activeCell="AC1" sqref="AC1"/>
      <selection pane="bottomLeft" activeCell="A6" sqref="A6"/>
      <selection pane="bottomRight" activeCell="P153" sqref="P153:AD153"/>
    </sheetView>
  </sheetViews>
  <sheetFormatPr defaultColWidth="2.6640625" defaultRowHeight="17.399999999999999" outlineLevelRow="1"/>
  <cols>
    <col min="1" max="1" width="2.6640625" style="34" customWidth="1"/>
    <col min="2" max="6" width="2.6640625" style="63"/>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92" t="s">
        <v>138</v>
      </c>
      <c r="C1" s="193"/>
      <c r="D1" s="193"/>
      <c r="E1" s="193"/>
      <c r="F1" s="193"/>
      <c r="G1" s="193"/>
      <c r="H1" s="193"/>
      <c r="I1" s="193"/>
      <c r="J1" s="193"/>
      <c r="K1" s="193"/>
      <c r="L1" s="193"/>
      <c r="M1" s="193"/>
      <c r="N1" s="194"/>
      <c r="O1" s="162" t="s">
        <v>157</v>
      </c>
      <c r="P1" s="163"/>
      <c r="Q1" s="163"/>
      <c r="R1" s="163"/>
      <c r="S1" s="163"/>
      <c r="T1" s="163"/>
      <c r="U1" s="163"/>
      <c r="V1" s="163"/>
      <c r="W1" s="163"/>
      <c r="X1" s="163"/>
      <c r="Y1" s="163"/>
      <c r="Z1" s="163"/>
      <c r="AA1" s="163"/>
      <c r="AB1" s="163"/>
      <c r="AC1" s="163"/>
      <c r="AD1" s="164"/>
      <c r="AE1" s="162" t="s">
        <v>3291</v>
      </c>
      <c r="AF1" s="163"/>
      <c r="AG1" s="163"/>
      <c r="AH1" s="163"/>
      <c r="AI1" s="163"/>
      <c r="AJ1" s="163"/>
      <c r="AK1" s="163"/>
      <c r="AL1" s="163"/>
      <c r="AM1" s="163"/>
      <c r="AN1" s="163"/>
      <c r="AO1" s="163"/>
      <c r="AP1" s="163"/>
      <c r="AQ1" s="163"/>
      <c r="AR1" s="164"/>
      <c r="AS1" s="162"/>
      <c r="AT1" s="163"/>
      <c r="AU1" s="163"/>
      <c r="AV1" s="163"/>
      <c r="AW1" s="163"/>
      <c r="AX1" s="164"/>
      <c r="AY1" s="162"/>
      <c r="AZ1" s="163"/>
      <c r="BA1" s="163"/>
      <c r="BB1" s="163"/>
      <c r="BC1" s="163"/>
      <c r="BD1" s="164"/>
      <c r="BE1" s="162"/>
      <c r="BF1" s="163"/>
      <c r="BG1" s="163"/>
      <c r="BH1" s="163"/>
      <c r="BI1" s="163"/>
      <c r="BJ1" s="164"/>
    </row>
    <row r="2" spans="1:64">
      <c r="B2" s="195"/>
      <c r="C2" s="196"/>
      <c r="D2" s="196"/>
      <c r="E2" s="196"/>
      <c r="F2" s="196"/>
      <c r="G2" s="196"/>
      <c r="H2" s="196"/>
      <c r="I2" s="196"/>
      <c r="J2" s="196"/>
      <c r="K2" s="196"/>
      <c r="L2" s="196"/>
      <c r="M2" s="196"/>
      <c r="N2" s="197"/>
      <c r="O2" s="165" t="s">
        <v>906</v>
      </c>
      <c r="P2" s="166"/>
      <c r="Q2" s="166"/>
      <c r="R2" s="166"/>
      <c r="S2" s="166"/>
      <c r="T2" s="166"/>
      <c r="U2" s="166"/>
      <c r="V2" s="166"/>
      <c r="W2" s="166"/>
      <c r="X2" s="166"/>
      <c r="Y2" s="166"/>
      <c r="Z2" s="166"/>
      <c r="AA2" s="166"/>
      <c r="AB2" s="166"/>
      <c r="AC2" s="166"/>
      <c r="AD2" s="167"/>
      <c r="AE2" s="165" t="s">
        <v>3290</v>
      </c>
      <c r="AF2" s="166"/>
      <c r="AG2" s="166"/>
      <c r="AH2" s="166"/>
      <c r="AI2" s="166"/>
      <c r="AJ2" s="166"/>
      <c r="AK2" s="166"/>
      <c r="AL2" s="166"/>
      <c r="AM2" s="166"/>
      <c r="AN2" s="166"/>
      <c r="AO2" s="166"/>
      <c r="AP2" s="166"/>
      <c r="AQ2" s="166"/>
      <c r="AR2" s="167"/>
      <c r="AS2" s="185"/>
      <c r="AT2" s="186"/>
      <c r="AU2" s="186"/>
      <c r="AV2" s="186"/>
      <c r="AW2" s="186"/>
      <c r="AX2" s="187"/>
      <c r="AY2" s="185"/>
      <c r="AZ2" s="186"/>
      <c r="BA2" s="186"/>
      <c r="BB2" s="186"/>
      <c r="BC2" s="186"/>
      <c r="BD2" s="187"/>
      <c r="BE2" s="185"/>
      <c r="BF2" s="186"/>
      <c r="BG2" s="186"/>
      <c r="BH2" s="186"/>
      <c r="BI2" s="186"/>
      <c r="BJ2" s="187"/>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83" t="s">
        <v>165</v>
      </c>
      <c r="C4" s="175"/>
      <c r="D4" s="175"/>
      <c r="E4" s="175"/>
      <c r="F4" s="176"/>
      <c r="G4" s="174" t="s">
        <v>164</v>
      </c>
      <c r="H4" s="175"/>
      <c r="I4" s="175"/>
      <c r="J4" s="175"/>
      <c r="K4" s="175"/>
      <c r="L4" s="175"/>
      <c r="M4" s="175"/>
      <c r="N4" s="176"/>
      <c r="O4" s="174" t="s">
        <v>160</v>
      </c>
      <c r="P4" s="168" t="s">
        <v>139</v>
      </c>
      <c r="Q4" s="169"/>
      <c r="R4" s="169"/>
      <c r="S4" s="169"/>
      <c r="T4" s="169"/>
      <c r="U4" s="169"/>
      <c r="V4" s="169"/>
      <c r="W4" s="169"/>
      <c r="X4" s="169"/>
      <c r="Y4" s="169"/>
      <c r="Z4" s="169"/>
      <c r="AA4" s="169"/>
      <c r="AB4" s="169"/>
      <c r="AC4" s="169"/>
      <c r="AD4" s="170"/>
      <c r="AE4" s="168" t="s">
        <v>136</v>
      </c>
      <c r="AF4" s="169"/>
      <c r="AG4" s="169"/>
      <c r="AH4" s="169"/>
      <c r="AI4" s="169"/>
      <c r="AJ4" s="169"/>
      <c r="AK4" s="169"/>
      <c r="AL4" s="170"/>
      <c r="AM4" s="174" t="s">
        <v>117</v>
      </c>
      <c r="AN4" s="175"/>
      <c r="AO4" s="175"/>
      <c r="AP4" s="175"/>
      <c r="AQ4" s="175"/>
      <c r="AR4" s="175"/>
      <c r="AS4" s="175"/>
      <c r="AT4" s="175"/>
      <c r="AU4" s="175"/>
      <c r="AV4" s="175"/>
      <c r="AW4" s="175"/>
      <c r="AX4" s="175"/>
      <c r="AY4" s="175"/>
      <c r="AZ4" s="175"/>
      <c r="BA4" s="175"/>
      <c r="BB4" s="175"/>
      <c r="BC4" s="175"/>
      <c r="BD4" s="175"/>
      <c r="BE4" s="175"/>
      <c r="BF4" s="175"/>
      <c r="BG4" s="175"/>
      <c r="BH4" s="175"/>
      <c r="BI4" s="175"/>
      <c r="BJ4" s="188"/>
    </row>
    <row r="5" spans="1:64" ht="42" customHeight="1" thickBot="1">
      <c r="B5" s="184"/>
      <c r="C5" s="178"/>
      <c r="D5" s="178"/>
      <c r="E5" s="178"/>
      <c r="F5" s="179"/>
      <c r="G5" s="177"/>
      <c r="H5" s="178"/>
      <c r="I5" s="178"/>
      <c r="J5" s="178"/>
      <c r="K5" s="178"/>
      <c r="L5" s="178"/>
      <c r="M5" s="178"/>
      <c r="N5" s="179"/>
      <c r="O5" s="180"/>
      <c r="P5" s="180"/>
      <c r="Q5" s="181"/>
      <c r="R5" s="181"/>
      <c r="S5" s="181"/>
      <c r="T5" s="181"/>
      <c r="U5" s="181"/>
      <c r="V5" s="181"/>
      <c r="W5" s="181"/>
      <c r="X5" s="181"/>
      <c r="Y5" s="181"/>
      <c r="Z5" s="181"/>
      <c r="AA5" s="181"/>
      <c r="AB5" s="181"/>
      <c r="AC5" s="181"/>
      <c r="AD5" s="182"/>
      <c r="AE5" s="171"/>
      <c r="AF5" s="172"/>
      <c r="AG5" s="172"/>
      <c r="AH5" s="172"/>
      <c r="AI5" s="172"/>
      <c r="AJ5" s="172"/>
      <c r="AK5" s="172"/>
      <c r="AL5" s="173"/>
      <c r="AM5" s="189"/>
      <c r="AN5" s="190"/>
      <c r="AO5" s="190"/>
      <c r="AP5" s="190"/>
      <c r="AQ5" s="190"/>
      <c r="AR5" s="190"/>
      <c r="AS5" s="190"/>
      <c r="AT5" s="190"/>
      <c r="AU5" s="190"/>
      <c r="AV5" s="190"/>
      <c r="AW5" s="190"/>
      <c r="AX5" s="190"/>
      <c r="AY5" s="190"/>
      <c r="AZ5" s="190"/>
      <c r="BA5" s="190"/>
      <c r="BB5" s="190"/>
      <c r="BC5" s="190"/>
      <c r="BD5" s="190"/>
      <c r="BE5" s="190"/>
      <c r="BF5" s="190"/>
      <c r="BG5" s="190"/>
      <c r="BH5" s="190"/>
      <c r="BI5" s="190"/>
      <c r="BJ5" s="191"/>
    </row>
    <row r="6" spans="1:64" ht="37.5" hidden="1" customHeight="1" outlineLevel="1" thickTop="1">
      <c r="A6" s="34" t="str">
        <f>P6</f>
        <v>バックアップ_処方データ_組入れ第一条件</v>
      </c>
      <c r="B6" s="153" t="str">
        <f>TEXT(1,"00")</f>
        <v>01</v>
      </c>
      <c r="C6" s="154"/>
      <c r="D6" s="154"/>
      <c r="E6" s="154"/>
      <c r="F6" s="155"/>
      <c r="G6" s="156" t="s">
        <v>195</v>
      </c>
      <c r="H6" s="157"/>
      <c r="I6" s="157"/>
      <c r="J6" s="157"/>
      <c r="K6" s="157"/>
      <c r="L6" s="157"/>
      <c r="M6" s="157"/>
      <c r="N6" s="158"/>
      <c r="O6" s="77" t="s">
        <v>3688</v>
      </c>
      <c r="P6" s="146" t="s">
        <v>3691</v>
      </c>
      <c r="Q6" s="147"/>
      <c r="R6" s="147"/>
      <c r="S6" s="147"/>
      <c r="T6" s="147"/>
      <c r="U6" s="147"/>
      <c r="V6" s="147"/>
      <c r="W6" s="147"/>
      <c r="X6" s="147"/>
      <c r="Y6" s="147"/>
      <c r="Z6" s="147"/>
      <c r="AA6" s="147"/>
      <c r="AB6" s="147"/>
      <c r="AC6" s="147"/>
      <c r="AD6" s="148"/>
      <c r="AE6" s="142" t="str">
        <f t="shared" ref="AE6" ca="1" si="0">IFERROR(INDIRECT(P6&amp;"!D8"),"")</f>
        <v>sgioy_202310_backup_shohou_first_criteria</v>
      </c>
      <c r="AF6" s="143"/>
      <c r="AG6" s="143"/>
      <c r="AH6" s="143"/>
      <c r="AI6" s="143"/>
      <c r="AJ6" s="143"/>
      <c r="AK6" s="143"/>
      <c r="AL6" s="144"/>
      <c r="AM6" s="142" t="str">
        <f t="shared" ref="AM6" ca="1" si="1">IFERROR(INDIRECT(P6&amp;"!D9"),"")</f>
        <v>処方データ_組入れ第一条件テーブルから組入れ条件の第一条件で絞り込んだ結果を格納するテーブル</v>
      </c>
      <c r="AN6" s="143"/>
      <c r="AO6" s="143"/>
      <c r="AP6" s="143"/>
      <c r="AQ6" s="143"/>
      <c r="AR6" s="143"/>
      <c r="AS6" s="143"/>
      <c r="AT6" s="143"/>
      <c r="AU6" s="143"/>
      <c r="AV6" s="143"/>
      <c r="AW6" s="143"/>
      <c r="AX6" s="143"/>
      <c r="AY6" s="143"/>
      <c r="AZ6" s="143"/>
      <c r="BA6" s="143"/>
      <c r="BB6" s="143"/>
      <c r="BC6" s="143"/>
      <c r="BD6" s="143"/>
      <c r="BE6" s="143"/>
      <c r="BF6" s="143"/>
      <c r="BG6" s="143"/>
      <c r="BH6" s="143"/>
      <c r="BI6" s="143"/>
      <c r="BJ6" s="145"/>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53" t="str">
        <f t="shared" ref="B7" si="4">TEXT(1,"00")</f>
        <v>01</v>
      </c>
      <c r="C7" s="154"/>
      <c r="D7" s="154"/>
      <c r="E7" s="154"/>
      <c r="F7" s="155"/>
      <c r="G7" s="156" t="s">
        <v>195</v>
      </c>
      <c r="H7" s="157"/>
      <c r="I7" s="157"/>
      <c r="J7" s="157"/>
      <c r="K7" s="157"/>
      <c r="L7" s="157"/>
      <c r="M7" s="157"/>
      <c r="N7" s="158"/>
      <c r="O7" s="77" t="s">
        <v>3689</v>
      </c>
      <c r="P7" s="146" t="s">
        <v>3692</v>
      </c>
      <c r="Q7" s="147"/>
      <c r="R7" s="147"/>
      <c r="S7" s="147"/>
      <c r="T7" s="147"/>
      <c r="U7" s="147"/>
      <c r="V7" s="147"/>
      <c r="W7" s="147"/>
      <c r="X7" s="147"/>
      <c r="Y7" s="147"/>
      <c r="Z7" s="147"/>
      <c r="AA7" s="147"/>
      <c r="AB7" s="147"/>
      <c r="AC7" s="147"/>
      <c r="AD7" s="148"/>
      <c r="AE7" s="142" t="str">
        <f t="shared" ref="AE7" ca="1" si="5">IFERROR(INDIRECT(P7&amp;"!D8"),"")</f>
        <v>sgioy_202310_backup_kanja_first_criteria</v>
      </c>
      <c r="AF7" s="143"/>
      <c r="AG7" s="143"/>
      <c r="AH7" s="143"/>
      <c r="AI7" s="143"/>
      <c r="AJ7" s="143"/>
      <c r="AK7" s="143"/>
      <c r="AL7" s="144"/>
      <c r="AM7" s="142" t="str">
        <f t="shared" ref="AM7" ca="1" si="6">IFERROR(INDIRECT(P7&amp;"!D9"),"")</f>
        <v>患者マスタ_組入れ第一条件テーブルから組入れ条件の第一条件で絞り込んだ結果を格納するテーブル</v>
      </c>
      <c r="AN7" s="143"/>
      <c r="AO7" s="143"/>
      <c r="AP7" s="143"/>
      <c r="AQ7" s="143"/>
      <c r="AR7" s="143"/>
      <c r="AS7" s="143"/>
      <c r="AT7" s="143"/>
      <c r="AU7" s="143"/>
      <c r="AV7" s="143"/>
      <c r="AW7" s="143"/>
      <c r="AX7" s="143"/>
      <c r="AY7" s="143"/>
      <c r="AZ7" s="143"/>
      <c r="BA7" s="143"/>
      <c r="BB7" s="143"/>
      <c r="BC7" s="143"/>
      <c r="BD7" s="143"/>
      <c r="BE7" s="143"/>
      <c r="BF7" s="143"/>
      <c r="BG7" s="143"/>
      <c r="BH7" s="143"/>
      <c r="BI7" s="143"/>
      <c r="BJ7" s="145"/>
      <c r="BK7" s="32" t="str">
        <f t="shared" si="2"/>
        <v>ENT_01_02_バックアップ_患者マスタ_組入れ第一条件.sql</v>
      </c>
    </row>
    <row r="8" spans="1:64" ht="37.5" hidden="1" customHeight="1" outlineLevel="1">
      <c r="A8" s="34" t="str">
        <f t="shared" ref="A8:A19" si="7">P8</f>
        <v>バックアップ_処方データ</v>
      </c>
      <c r="B8" s="153" t="str">
        <f t="shared" ref="B8:B152" si="8">TEXT(1,"00")</f>
        <v>01</v>
      </c>
      <c r="C8" s="154"/>
      <c r="D8" s="154"/>
      <c r="E8" s="154"/>
      <c r="F8" s="155"/>
      <c r="G8" s="156" t="s">
        <v>195</v>
      </c>
      <c r="H8" s="157"/>
      <c r="I8" s="157"/>
      <c r="J8" s="157"/>
      <c r="K8" s="157"/>
      <c r="L8" s="157"/>
      <c r="M8" s="157"/>
      <c r="N8" s="158"/>
      <c r="O8" s="77" t="s">
        <v>3136</v>
      </c>
      <c r="P8" s="146" t="s">
        <v>1739</v>
      </c>
      <c r="Q8" s="147"/>
      <c r="R8" s="147"/>
      <c r="S8" s="147"/>
      <c r="T8" s="147"/>
      <c r="U8" s="147"/>
      <c r="V8" s="147"/>
      <c r="W8" s="147"/>
      <c r="X8" s="147"/>
      <c r="Y8" s="147"/>
      <c r="Z8" s="147"/>
      <c r="AA8" s="147"/>
      <c r="AB8" s="147"/>
      <c r="AC8" s="147"/>
      <c r="AD8" s="148"/>
      <c r="AE8" s="142" t="str">
        <f t="shared" ref="AE8:AE19" ca="1" si="9">IFERROR(INDIRECT(P8&amp;"!D8"),"")</f>
        <v>sgioy_202310_backup_mart_shohou</v>
      </c>
      <c r="AF8" s="143"/>
      <c r="AG8" s="143"/>
      <c r="AH8" s="143"/>
      <c r="AI8" s="143"/>
      <c r="AJ8" s="143"/>
      <c r="AK8" s="143"/>
      <c r="AL8" s="144"/>
      <c r="AM8" s="142" t="str">
        <f t="shared" ref="AM8:AM19" ca="1" si="10">IFERROR(INDIRECT(P8&amp;"!D9"),"")</f>
        <v>処方データテーブルから組入れ条件の第一条件で絞り込んだ結果を格納するテーブル</v>
      </c>
      <c r="AN8" s="143"/>
      <c r="AO8" s="143"/>
      <c r="AP8" s="143"/>
      <c r="AQ8" s="143"/>
      <c r="AR8" s="143"/>
      <c r="AS8" s="143"/>
      <c r="AT8" s="143"/>
      <c r="AU8" s="143"/>
      <c r="AV8" s="143"/>
      <c r="AW8" s="143"/>
      <c r="AX8" s="143"/>
      <c r="AY8" s="143"/>
      <c r="AZ8" s="143"/>
      <c r="BA8" s="143"/>
      <c r="BB8" s="143"/>
      <c r="BC8" s="143"/>
      <c r="BD8" s="143"/>
      <c r="BE8" s="143"/>
      <c r="BF8" s="143"/>
      <c r="BG8" s="143"/>
      <c r="BH8" s="143"/>
      <c r="BI8" s="143"/>
      <c r="BJ8" s="145"/>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53" t="str">
        <f t="shared" si="8"/>
        <v>01</v>
      </c>
      <c r="C9" s="154"/>
      <c r="D9" s="154"/>
      <c r="E9" s="154"/>
      <c r="F9" s="155"/>
      <c r="G9" s="156" t="s">
        <v>195</v>
      </c>
      <c r="H9" s="157"/>
      <c r="I9" s="157"/>
      <c r="J9" s="157"/>
      <c r="K9" s="157"/>
      <c r="L9" s="157"/>
      <c r="M9" s="157"/>
      <c r="N9" s="158"/>
      <c r="O9" s="77" t="s">
        <v>3137</v>
      </c>
      <c r="P9" s="146" t="s">
        <v>1766</v>
      </c>
      <c r="Q9" s="147"/>
      <c r="R9" s="147"/>
      <c r="S9" s="147"/>
      <c r="T9" s="147"/>
      <c r="U9" s="147"/>
      <c r="V9" s="147"/>
      <c r="W9" s="147"/>
      <c r="X9" s="147"/>
      <c r="Y9" s="147"/>
      <c r="Z9" s="147"/>
      <c r="AA9" s="147"/>
      <c r="AB9" s="147"/>
      <c r="AC9" s="147"/>
      <c r="AD9" s="148"/>
      <c r="AE9" s="142" t="str">
        <f t="shared" ca="1" si="9"/>
        <v>sgioy_202310_backup_mart_shinryou_koui</v>
      </c>
      <c r="AF9" s="143"/>
      <c r="AG9" s="143"/>
      <c r="AH9" s="143"/>
      <c r="AI9" s="143"/>
      <c r="AJ9" s="143"/>
      <c r="AK9" s="143"/>
      <c r="AL9" s="144"/>
      <c r="AM9" s="142" t="str">
        <f t="shared" ca="1" si="10"/>
        <v>診療行為データテーブルから組入れ条件の第一条件で絞り込んだ結果を格納するテーブル</v>
      </c>
      <c r="AN9" s="143"/>
      <c r="AO9" s="143"/>
      <c r="AP9" s="143"/>
      <c r="AQ9" s="143"/>
      <c r="AR9" s="143"/>
      <c r="AS9" s="143"/>
      <c r="AT9" s="143"/>
      <c r="AU9" s="143"/>
      <c r="AV9" s="143"/>
      <c r="AW9" s="143"/>
      <c r="AX9" s="143"/>
      <c r="AY9" s="143"/>
      <c r="AZ9" s="143"/>
      <c r="BA9" s="143"/>
      <c r="BB9" s="143"/>
      <c r="BC9" s="143"/>
      <c r="BD9" s="143"/>
      <c r="BE9" s="143"/>
      <c r="BF9" s="143"/>
      <c r="BG9" s="143"/>
      <c r="BH9" s="143"/>
      <c r="BI9" s="143"/>
      <c r="BJ9" s="145"/>
      <c r="BK9" s="32" t="str">
        <f t="shared" si="11"/>
        <v>ENT_01_A1-03_バックアップ_診療行為データ.sql</v>
      </c>
      <c r="BL9" s="32">
        <v>1</v>
      </c>
    </row>
    <row r="10" spans="1:64" ht="37.5" hidden="1" customHeight="1" outlineLevel="1">
      <c r="A10" s="34" t="str">
        <f t="shared" si="7"/>
        <v>バックアップ_疾患データ</v>
      </c>
      <c r="B10" s="153" t="str">
        <f t="shared" si="8"/>
        <v>01</v>
      </c>
      <c r="C10" s="154"/>
      <c r="D10" s="154"/>
      <c r="E10" s="154"/>
      <c r="F10" s="155"/>
      <c r="G10" s="156" t="s">
        <v>195</v>
      </c>
      <c r="H10" s="157"/>
      <c r="I10" s="157"/>
      <c r="J10" s="157"/>
      <c r="K10" s="157"/>
      <c r="L10" s="157"/>
      <c r="M10" s="157"/>
      <c r="N10" s="158"/>
      <c r="O10" s="77" t="s">
        <v>3138</v>
      </c>
      <c r="P10" s="146" t="s">
        <v>1775</v>
      </c>
      <c r="Q10" s="147"/>
      <c r="R10" s="147"/>
      <c r="S10" s="147"/>
      <c r="T10" s="147"/>
      <c r="U10" s="147"/>
      <c r="V10" s="147"/>
      <c r="W10" s="147"/>
      <c r="X10" s="147"/>
      <c r="Y10" s="147"/>
      <c r="Z10" s="147"/>
      <c r="AA10" s="147"/>
      <c r="AB10" s="147"/>
      <c r="AC10" s="147"/>
      <c r="AD10" s="148"/>
      <c r="AE10" s="142" t="str">
        <f t="shared" ca="1" si="9"/>
        <v>sgioy_202310_backup_mart_shikkan</v>
      </c>
      <c r="AF10" s="143"/>
      <c r="AG10" s="143"/>
      <c r="AH10" s="143"/>
      <c r="AI10" s="143"/>
      <c r="AJ10" s="143"/>
      <c r="AK10" s="143"/>
      <c r="AL10" s="144"/>
      <c r="AM10" s="142" t="str">
        <f t="shared" ca="1" si="10"/>
        <v>疾患データテーブルから組入れ条件の第一条件で絞り込んだ結果を格納するテーブル</v>
      </c>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5"/>
      <c r="BK10" s="32" t="str">
        <f t="shared" si="11"/>
        <v>ENT_01_A1-04_バックアップ_疾患データ.sql</v>
      </c>
      <c r="BL10" s="32">
        <v>2</v>
      </c>
    </row>
    <row r="11" spans="1:64" ht="37.5" hidden="1" customHeight="1" outlineLevel="1">
      <c r="A11" s="34" t="str">
        <f t="shared" si="7"/>
        <v>バックアップ_疾患診療科データ</v>
      </c>
      <c r="B11" s="153" t="str">
        <f t="shared" si="8"/>
        <v>01</v>
      </c>
      <c r="C11" s="154"/>
      <c r="D11" s="154"/>
      <c r="E11" s="154"/>
      <c r="F11" s="155"/>
      <c r="G11" s="156" t="s">
        <v>195</v>
      </c>
      <c r="H11" s="157"/>
      <c r="I11" s="157"/>
      <c r="J11" s="157"/>
      <c r="K11" s="157"/>
      <c r="L11" s="157"/>
      <c r="M11" s="157"/>
      <c r="N11" s="158"/>
      <c r="O11" s="77" t="s">
        <v>3139</v>
      </c>
      <c r="P11" s="146" t="s">
        <v>1802</v>
      </c>
      <c r="Q11" s="147"/>
      <c r="R11" s="147"/>
      <c r="S11" s="147"/>
      <c r="T11" s="147"/>
      <c r="U11" s="147"/>
      <c r="V11" s="147"/>
      <c r="W11" s="147"/>
      <c r="X11" s="147"/>
      <c r="Y11" s="147"/>
      <c r="Z11" s="147"/>
      <c r="AA11" s="147"/>
      <c r="AB11" s="147"/>
      <c r="AC11" s="147"/>
      <c r="AD11" s="148"/>
      <c r="AE11" s="142" t="str">
        <f t="shared" ca="1" si="9"/>
        <v>sgioy_202310_backup_mart_shikkan_department</v>
      </c>
      <c r="AF11" s="143"/>
      <c r="AG11" s="143"/>
      <c r="AH11" s="143"/>
      <c r="AI11" s="143"/>
      <c r="AJ11" s="143"/>
      <c r="AK11" s="143"/>
      <c r="AL11" s="144"/>
      <c r="AM11" s="142" t="str">
        <f t="shared" ca="1" si="10"/>
        <v>疾患診療科データテーブルから組入れ条件の第一条件で絞り込んだ結果を格納するテーブル</v>
      </c>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5"/>
      <c r="BK11" s="32" t="str">
        <f t="shared" si="11"/>
        <v>ENT_01_A1-05_バックアップ_疾患診療科データ.sql</v>
      </c>
    </row>
    <row r="12" spans="1:64" ht="37.5" hidden="1" customHeight="1" outlineLevel="1">
      <c r="A12" s="34" t="str">
        <f t="shared" si="7"/>
        <v>バックアップ_入院退院データ</v>
      </c>
      <c r="B12" s="153" t="str">
        <f t="shared" si="8"/>
        <v>01</v>
      </c>
      <c r="C12" s="154"/>
      <c r="D12" s="154"/>
      <c r="E12" s="154"/>
      <c r="F12" s="155"/>
      <c r="G12" s="156" t="s">
        <v>195</v>
      </c>
      <c r="H12" s="157"/>
      <c r="I12" s="157"/>
      <c r="J12" s="157"/>
      <c r="K12" s="157"/>
      <c r="L12" s="157"/>
      <c r="M12" s="157"/>
      <c r="N12" s="158"/>
      <c r="O12" s="77" t="s">
        <v>3140</v>
      </c>
      <c r="P12" s="146" t="s">
        <v>1810</v>
      </c>
      <c r="Q12" s="147"/>
      <c r="R12" s="147"/>
      <c r="S12" s="147"/>
      <c r="T12" s="147"/>
      <c r="U12" s="147"/>
      <c r="V12" s="147"/>
      <c r="W12" s="147"/>
      <c r="X12" s="147"/>
      <c r="Y12" s="147"/>
      <c r="Z12" s="147"/>
      <c r="AA12" s="147"/>
      <c r="AB12" s="147"/>
      <c r="AC12" s="147"/>
      <c r="AD12" s="148"/>
      <c r="AE12" s="142" t="str">
        <f t="shared" ca="1" si="9"/>
        <v>sgioy_202310_backup_mart_nyu_tai_in</v>
      </c>
      <c r="AF12" s="143"/>
      <c r="AG12" s="143"/>
      <c r="AH12" s="143"/>
      <c r="AI12" s="143"/>
      <c r="AJ12" s="143"/>
      <c r="AK12" s="143"/>
      <c r="AL12" s="144"/>
      <c r="AM12" s="142" t="str">
        <f t="shared" ca="1" si="10"/>
        <v>入院退院データテーブルから組入れ条件の第一条件で絞り込んだ結果を格納するテーブル</v>
      </c>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5"/>
      <c r="BK12" s="32" t="str">
        <f t="shared" si="11"/>
        <v>ENT_01_A1-06_バックアップ_入院退院データ.sql</v>
      </c>
      <c r="BL12" s="32">
        <v>1</v>
      </c>
    </row>
    <row r="13" spans="1:64" ht="37.5" hidden="1" customHeight="1" outlineLevel="1">
      <c r="A13" s="34" t="str">
        <f t="shared" si="7"/>
        <v>バックアップ_二次利用DB登録患者データ</v>
      </c>
      <c r="B13" s="153" t="str">
        <f t="shared" si="8"/>
        <v>01</v>
      </c>
      <c r="C13" s="154"/>
      <c r="D13" s="154"/>
      <c r="E13" s="154"/>
      <c r="F13" s="155"/>
      <c r="G13" s="156" t="s">
        <v>195</v>
      </c>
      <c r="H13" s="157"/>
      <c r="I13" s="157"/>
      <c r="J13" s="157"/>
      <c r="K13" s="157"/>
      <c r="L13" s="157"/>
      <c r="M13" s="157"/>
      <c r="N13" s="158"/>
      <c r="O13" s="77" t="s">
        <v>3141</v>
      </c>
      <c r="P13" s="146" t="s">
        <v>1823</v>
      </c>
      <c r="Q13" s="147"/>
      <c r="R13" s="147"/>
      <c r="S13" s="147"/>
      <c r="T13" s="147"/>
      <c r="U13" s="147"/>
      <c r="V13" s="147"/>
      <c r="W13" s="147"/>
      <c r="X13" s="147"/>
      <c r="Y13" s="147"/>
      <c r="Z13" s="147"/>
      <c r="AA13" s="147"/>
      <c r="AB13" s="147"/>
      <c r="AC13" s="147"/>
      <c r="AD13" s="148"/>
      <c r="AE13" s="142" t="str">
        <f t="shared" ca="1" si="9"/>
        <v>sgioy_202310_backup_mart_2riyo_patient_id</v>
      </c>
      <c r="AF13" s="143"/>
      <c r="AG13" s="143"/>
      <c r="AH13" s="143"/>
      <c r="AI13" s="143"/>
      <c r="AJ13" s="143"/>
      <c r="AK13" s="143"/>
      <c r="AL13" s="144"/>
      <c r="AM13" s="142" t="str">
        <f t="shared" ca="1" si="10"/>
        <v>二次利用DB登録患者データテーブルから組入れ条件の第一条件で絞り込んだ結果を格納するテーブル</v>
      </c>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5"/>
      <c r="BK13" s="32" t="str">
        <f t="shared" si="11"/>
        <v>ENT_01_A1-07_バックアップ_二次利用DB登録患者データ.sql</v>
      </c>
    </row>
    <row r="14" spans="1:64" ht="37.5" hidden="1" customHeight="1" outlineLevel="1">
      <c r="A14" s="34" t="str">
        <f t="shared" si="7"/>
        <v>バックアップ_二次利用DB登録患者データ_DPC</v>
      </c>
      <c r="B14" s="153" t="str">
        <f t="shared" si="8"/>
        <v>01</v>
      </c>
      <c r="C14" s="154"/>
      <c r="D14" s="154"/>
      <c r="E14" s="154"/>
      <c r="F14" s="155"/>
      <c r="G14" s="156" t="s">
        <v>195</v>
      </c>
      <c r="H14" s="157"/>
      <c r="I14" s="157"/>
      <c r="J14" s="157"/>
      <c r="K14" s="157"/>
      <c r="L14" s="157"/>
      <c r="M14" s="157"/>
      <c r="N14" s="158"/>
      <c r="O14" s="77" t="s">
        <v>3142</v>
      </c>
      <c r="P14" s="146" t="s">
        <v>1829</v>
      </c>
      <c r="Q14" s="147"/>
      <c r="R14" s="147"/>
      <c r="S14" s="147"/>
      <c r="T14" s="147"/>
      <c r="U14" s="147"/>
      <c r="V14" s="147"/>
      <c r="W14" s="147"/>
      <c r="X14" s="147"/>
      <c r="Y14" s="147"/>
      <c r="Z14" s="147"/>
      <c r="AA14" s="147"/>
      <c r="AB14" s="147"/>
      <c r="AC14" s="147"/>
      <c r="AD14" s="148"/>
      <c r="AE14" s="142" t="str">
        <f t="shared" ca="1" si="9"/>
        <v>sgioy_202310_backup_mart_2riyo_patient_id_dpc</v>
      </c>
      <c r="AF14" s="143"/>
      <c r="AG14" s="143"/>
      <c r="AH14" s="143"/>
      <c r="AI14" s="143"/>
      <c r="AJ14" s="143"/>
      <c r="AK14" s="143"/>
      <c r="AL14" s="144"/>
      <c r="AM14" s="142" t="str">
        <f t="shared" ca="1" si="10"/>
        <v>二次利用DB登録患者データ_DPCテーブルから組入れ条件の第一条件で絞り込んだ結果を格納するテーブル</v>
      </c>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5"/>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53" t="str">
        <f t="shared" si="8"/>
        <v>01</v>
      </c>
      <c r="C15" s="154"/>
      <c r="D15" s="154"/>
      <c r="E15" s="154"/>
      <c r="F15" s="155"/>
      <c r="G15" s="156" t="s">
        <v>195</v>
      </c>
      <c r="H15" s="157"/>
      <c r="I15" s="157"/>
      <c r="J15" s="157"/>
      <c r="K15" s="157"/>
      <c r="L15" s="157"/>
      <c r="M15" s="157"/>
      <c r="N15" s="158"/>
      <c r="O15" s="77" t="s">
        <v>3143</v>
      </c>
      <c r="P15" s="146" t="s">
        <v>1839</v>
      </c>
      <c r="Q15" s="147"/>
      <c r="R15" s="147"/>
      <c r="S15" s="147"/>
      <c r="T15" s="147"/>
      <c r="U15" s="147"/>
      <c r="V15" s="147"/>
      <c r="W15" s="147"/>
      <c r="X15" s="147"/>
      <c r="Y15" s="147"/>
      <c r="Z15" s="147"/>
      <c r="AA15" s="147"/>
      <c r="AB15" s="147"/>
      <c r="AC15" s="147"/>
      <c r="AD15" s="148"/>
      <c r="AE15" s="142" t="str">
        <f t="shared" ca="1" si="9"/>
        <v>sgioy_202310_backup_mart_2riyo_patient_id_rcp</v>
      </c>
      <c r="AF15" s="143"/>
      <c r="AG15" s="143"/>
      <c r="AH15" s="143"/>
      <c r="AI15" s="143"/>
      <c r="AJ15" s="143"/>
      <c r="AK15" s="143"/>
      <c r="AL15" s="144"/>
      <c r="AM15" s="142" t="str">
        <f t="shared" ca="1" si="10"/>
        <v>二次利用DB登録患者データ_レセプトテーブルから組入れ条件の第一条件で絞り込んだ結果を格納するテーブル</v>
      </c>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5"/>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53" t="str">
        <f t="shared" si="8"/>
        <v>01</v>
      </c>
      <c r="C16" s="154"/>
      <c r="D16" s="154"/>
      <c r="E16" s="154"/>
      <c r="F16" s="155"/>
      <c r="G16" s="156" t="s">
        <v>195</v>
      </c>
      <c r="H16" s="157"/>
      <c r="I16" s="157"/>
      <c r="J16" s="157"/>
      <c r="K16" s="157"/>
      <c r="L16" s="157"/>
      <c r="M16" s="157"/>
      <c r="N16" s="158"/>
      <c r="O16" s="77" t="s">
        <v>3144</v>
      </c>
      <c r="P16" s="146" t="s">
        <v>1842</v>
      </c>
      <c r="Q16" s="147"/>
      <c r="R16" s="147"/>
      <c r="S16" s="147"/>
      <c r="T16" s="147"/>
      <c r="U16" s="147"/>
      <c r="V16" s="147"/>
      <c r="W16" s="147"/>
      <c r="X16" s="147"/>
      <c r="Y16" s="147"/>
      <c r="Z16" s="147"/>
      <c r="AA16" s="147"/>
      <c r="AB16" s="147"/>
      <c r="AC16" s="147"/>
      <c r="AD16" s="148"/>
      <c r="AE16" s="142" t="str">
        <f t="shared" ca="1" si="9"/>
        <v>sgioy_202310_backup_mart_2riyo_patient_id_mml</v>
      </c>
      <c r="AF16" s="143"/>
      <c r="AG16" s="143"/>
      <c r="AH16" s="143"/>
      <c r="AI16" s="143"/>
      <c r="AJ16" s="143"/>
      <c r="AK16" s="143"/>
      <c r="AL16" s="144"/>
      <c r="AM16" s="142" t="str">
        <f t="shared" ca="1" si="10"/>
        <v>二次利用DB登録患者データ_MMLテーブルから組入れ条件の第一条件で絞り込んだ結果を格納するテーブル</v>
      </c>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5"/>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53" t="str">
        <f t="shared" si="8"/>
        <v>01</v>
      </c>
      <c r="C17" s="154"/>
      <c r="D17" s="154"/>
      <c r="E17" s="154"/>
      <c r="F17" s="155"/>
      <c r="G17" s="156" t="s">
        <v>195</v>
      </c>
      <c r="H17" s="157"/>
      <c r="I17" s="157"/>
      <c r="J17" s="157"/>
      <c r="K17" s="157"/>
      <c r="L17" s="157"/>
      <c r="M17" s="157"/>
      <c r="N17" s="158"/>
      <c r="O17" s="77" t="s">
        <v>3145</v>
      </c>
      <c r="P17" s="146" t="s">
        <v>1846</v>
      </c>
      <c r="Q17" s="147"/>
      <c r="R17" s="147"/>
      <c r="S17" s="147"/>
      <c r="T17" s="147"/>
      <c r="U17" s="147"/>
      <c r="V17" s="147"/>
      <c r="W17" s="147"/>
      <c r="X17" s="147"/>
      <c r="Y17" s="147"/>
      <c r="Z17" s="147"/>
      <c r="AA17" s="147"/>
      <c r="AB17" s="147"/>
      <c r="AC17" s="147"/>
      <c r="AD17" s="148"/>
      <c r="AE17" s="142" t="str">
        <f t="shared" ca="1" si="9"/>
        <v>sgioy_202310_backup_mart_2riyo_patient_himoduke</v>
      </c>
      <c r="AF17" s="143"/>
      <c r="AG17" s="143"/>
      <c r="AH17" s="143"/>
      <c r="AI17" s="143"/>
      <c r="AJ17" s="143"/>
      <c r="AK17" s="143"/>
      <c r="AL17" s="144"/>
      <c r="AM17" s="142" t="str">
        <f t="shared" ca="1" si="10"/>
        <v>二次利用DB登録患者紐付けデータテーブルから組入れ条件の第一条件で絞り込んだ結果を格納するテーブル</v>
      </c>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5"/>
      <c r="BK17" s="32" t="str">
        <f t="shared" si="11"/>
        <v>ENT_01_A1-11_バックアップ_二次利用DB登録患者紐付けデータ.sql</v>
      </c>
    </row>
    <row r="18" spans="1:64" ht="37.5" hidden="1" customHeight="1" outlineLevel="1">
      <c r="A18" s="34" t="str">
        <f t="shared" si="7"/>
        <v>バックアップ_エラー患者データ</v>
      </c>
      <c r="B18" s="153" t="str">
        <f t="shared" si="8"/>
        <v>01</v>
      </c>
      <c r="C18" s="154"/>
      <c r="D18" s="154"/>
      <c r="E18" s="154"/>
      <c r="F18" s="155"/>
      <c r="G18" s="156" t="s">
        <v>195</v>
      </c>
      <c r="H18" s="157"/>
      <c r="I18" s="157"/>
      <c r="J18" s="157"/>
      <c r="K18" s="157"/>
      <c r="L18" s="157"/>
      <c r="M18" s="157"/>
      <c r="N18" s="158"/>
      <c r="O18" s="77" t="s">
        <v>3146</v>
      </c>
      <c r="P18" s="146" t="s">
        <v>1852</v>
      </c>
      <c r="Q18" s="147"/>
      <c r="R18" s="147"/>
      <c r="S18" s="147"/>
      <c r="T18" s="147"/>
      <c r="U18" s="147"/>
      <c r="V18" s="147"/>
      <c r="W18" s="147"/>
      <c r="X18" s="147"/>
      <c r="Y18" s="147"/>
      <c r="Z18" s="147"/>
      <c r="AA18" s="147"/>
      <c r="AB18" s="147"/>
      <c r="AC18" s="147"/>
      <c r="AD18" s="148"/>
      <c r="AE18" s="142" t="str">
        <f t="shared" ca="1" si="9"/>
        <v>sgioy_202310_backup_mart_error_patient</v>
      </c>
      <c r="AF18" s="143"/>
      <c r="AG18" s="143"/>
      <c r="AH18" s="143"/>
      <c r="AI18" s="143"/>
      <c r="AJ18" s="143"/>
      <c r="AK18" s="143"/>
      <c r="AL18" s="144"/>
      <c r="AM18" s="142" t="str">
        <f t="shared" ca="1" si="10"/>
        <v>エラー患者データテーブルから組入れ条件の第一条件で絞り込んだ結果を格納するテーブル</v>
      </c>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5"/>
      <c r="BK18" s="32" t="str">
        <f t="shared" si="11"/>
        <v>ENT_01_A1-13_バックアップ_エラー患者データ.sql</v>
      </c>
    </row>
    <row r="19" spans="1:64" ht="37.5" hidden="1" customHeight="1" outlineLevel="1">
      <c r="A19" s="34" t="str">
        <f t="shared" si="7"/>
        <v>バックアップ_患者基本データ</v>
      </c>
      <c r="B19" s="153" t="str">
        <f t="shared" si="8"/>
        <v>01</v>
      </c>
      <c r="C19" s="154"/>
      <c r="D19" s="154"/>
      <c r="E19" s="154"/>
      <c r="F19" s="155"/>
      <c r="G19" s="156" t="s">
        <v>195</v>
      </c>
      <c r="H19" s="157"/>
      <c r="I19" s="157"/>
      <c r="J19" s="157"/>
      <c r="K19" s="157"/>
      <c r="L19" s="157"/>
      <c r="M19" s="157"/>
      <c r="N19" s="158"/>
      <c r="O19" s="77" t="s">
        <v>3147</v>
      </c>
      <c r="P19" s="146" t="s">
        <v>1853</v>
      </c>
      <c r="Q19" s="147"/>
      <c r="R19" s="147"/>
      <c r="S19" s="147"/>
      <c r="T19" s="147"/>
      <c r="U19" s="147"/>
      <c r="V19" s="147"/>
      <c r="W19" s="147"/>
      <c r="X19" s="147"/>
      <c r="Y19" s="147"/>
      <c r="Z19" s="147"/>
      <c r="AA19" s="147"/>
      <c r="AB19" s="147"/>
      <c r="AC19" s="147"/>
      <c r="AD19" s="148"/>
      <c r="AE19" s="142" t="str">
        <f t="shared" ca="1" si="9"/>
        <v>sgioy_202310_backup_mart_patient_basic</v>
      </c>
      <c r="AF19" s="143"/>
      <c r="AG19" s="143"/>
      <c r="AH19" s="143"/>
      <c r="AI19" s="143"/>
      <c r="AJ19" s="143"/>
      <c r="AK19" s="143"/>
      <c r="AL19" s="144"/>
      <c r="AM19" s="142" t="str">
        <f t="shared" ca="1" si="10"/>
        <v>患者基本データテーブルから組入れ条件の第一条件で絞り込んだ結果を格納するテーブル</v>
      </c>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5"/>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53" t="str">
        <f t="shared" si="8"/>
        <v>01</v>
      </c>
      <c r="C20" s="154"/>
      <c r="D20" s="154"/>
      <c r="E20" s="154"/>
      <c r="F20" s="155"/>
      <c r="G20" s="156" t="s">
        <v>195</v>
      </c>
      <c r="H20" s="157"/>
      <c r="I20" s="157"/>
      <c r="J20" s="157"/>
      <c r="K20" s="157"/>
      <c r="L20" s="157"/>
      <c r="M20" s="157"/>
      <c r="N20" s="158"/>
      <c r="O20" s="77" t="s">
        <v>3148</v>
      </c>
      <c r="P20" s="146" t="s">
        <v>1859</v>
      </c>
      <c r="Q20" s="147"/>
      <c r="R20" s="147"/>
      <c r="S20" s="147"/>
      <c r="T20" s="147"/>
      <c r="U20" s="147"/>
      <c r="V20" s="147"/>
      <c r="W20" s="147"/>
      <c r="X20" s="147"/>
      <c r="Y20" s="147"/>
      <c r="Z20" s="147"/>
      <c r="AA20" s="147"/>
      <c r="AB20" s="147"/>
      <c r="AC20" s="147"/>
      <c r="AD20" s="148"/>
      <c r="AE20" s="142" t="str">
        <f t="shared" ref="AE20:AE71" ca="1" si="13">IFERROR(INDIRECT(P20&amp;"!D8"),"")</f>
        <v>sgioy_202310_backup_mt_shisetsu_zokusei</v>
      </c>
      <c r="AF20" s="143"/>
      <c r="AG20" s="143"/>
      <c r="AH20" s="143"/>
      <c r="AI20" s="143"/>
      <c r="AJ20" s="143"/>
      <c r="AK20" s="143"/>
      <c r="AL20" s="144"/>
      <c r="AM20" s="142" t="str">
        <f t="shared" ref="AM20:AM71" ca="1" si="14">IFERROR(INDIRECT(P20&amp;"!D9"),"")</f>
        <v>施設属性マスタ取込用テーブルから組入れ条件の第一条件で絞り込んだ結果を格納するテーブル</v>
      </c>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5"/>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53" t="str">
        <f t="shared" si="8"/>
        <v>01</v>
      </c>
      <c r="C21" s="154"/>
      <c r="D21" s="154"/>
      <c r="E21" s="154"/>
      <c r="F21" s="155"/>
      <c r="G21" s="156" t="s">
        <v>195</v>
      </c>
      <c r="H21" s="157"/>
      <c r="I21" s="157"/>
      <c r="J21" s="157"/>
      <c r="K21" s="157"/>
      <c r="L21" s="157"/>
      <c r="M21" s="157"/>
      <c r="N21" s="158"/>
      <c r="O21" s="77" t="s">
        <v>3149</v>
      </c>
      <c r="P21" s="146" t="s">
        <v>1895</v>
      </c>
      <c r="Q21" s="147"/>
      <c r="R21" s="147"/>
      <c r="S21" s="147"/>
      <c r="T21" s="147"/>
      <c r="U21" s="147"/>
      <c r="V21" s="147"/>
      <c r="W21" s="147"/>
      <c r="X21" s="147"/>
      <c r="Y21" s="147"/>
      <c r="Z21" s="147"/>
      <c r="AA21" s="147"/>
      <c r="AB21" s="147"/>
      <c r="AC21" s="147"/>
      <c r="AD21" s="148"/>
      <c r="AE21" s="142" t="str">
        <f t="shared" ca="1" si="13"/>
        <v>sgioy_202310_backup_mt_iryouken2</v>
      </c>
      <c r="AF21" s="143"/>
      <c r="AG21" s="143"/>
      <c r="AH21" s="143"/>
      <c r="AI21" s="143"/>
      <c r="AJ21" s="143"/>
      <c r="AK21" s="143"/>
      <c r="AL21" s="144"/>
      <c r="AM21" s="142" t="str">
        <f t="shared" ca="1" si="14"/>
        <v>二次医療圏マスタ取込用テーブルから組入れ条件の第一条件で絞り込んだ結果を格納するテーブル</v>
      </c>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5"/>
      <c r="BK21" s="32" t="str">
        <f t="shared" si="15"/>
        <v>ENT_01_A3-03_バックアップ_二次医療圏マスタ取込用.sql</v>
      </c>
    </row>
    <row r="22" spans="1:64" ht="37.5" hidden="1" customHeight="1" outlineLevel="1">
      <c r="A22" s="34" t="str">
        <f t="shared" si="12"/>
        <v>バックアップ_新旧医薬品コードマスタ取込用</v>
      </c>
      <c r="B22" s="153" t="str">
        <f t="shared" si="8"/>
        <v>01</v>
      </c>
      <c r="C22" s="154"/>
      <c r="D22" s="154"/>
      <c r="E22" s="154"/>
      <c r="F22" s="155"/>
      <c r="G22" s="156" t="s">
        <v>195</v>
      </c>
      <c r="H22" s="157"/>
      <c r="I22" s="157"/>
      <c r="J22" s="157"/>
      <c r="K22" s="157"/>
      <c r="L22" s="157"/>
      <c r="M22" s="157"/>
      <c r="N22" s="158"/>
      <c r="O22" s="77" t="s">
        <v>3150</v>
      </c>
      <c r="P22" s="146" t="s">
        <v>1915</v>
      </c>
      <c r="Q22" s="147"/>
      <c r="R22" s="147"/>
      <c r="S22" s="147"/>
      <c r="T22" s="147"/>
      <c r="U22" s="147"/>
      <c r="V22" s="147"/>
      <c r="W22" s="147"/>
      <c r="X22" s="147"/>
      <c r="Y22" s="147"/>
      <c r="Z22" s="147"/>
      <c r="AA22" s="147"/>
      <c r="AB22" s="147"/>
      <c r="AC22" s="147"/>
      <c r="AD22" s="148"/>
      <c r="AE22" s="142" t="str">
        <f t="shared" ca="1" si="13"/>
        <v>sgioy_202310_backup_mt_old_new_iyakuhin</v>
      </c>
      <c r="AF22" s="143"/>
      <c r="AG22" s="143"/>
      <c r="AH22" s="143"/>
      <c r="AI22" s="143"/>
      <c r="AJ22" s="143"/>
      <c r="AK22" s="143"/>
      <c r="AL22" s="144"/>
      <c r="AM22" s="142" t="str">
        <f t="shared" ca="1" si="14"/>
        <v>新旧医薬品コードマスタ取込用テーブルから組入れ条件の第一条件で絞り込んだ結果を格納するテーブル</v>
      </c>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5"/>
      <c r="BK22" s="32" t="str">
        <f t="shared" si="15"/>
        <v>ENT_01_A3-04_バックアップ_新旧医薬品コードマスタ取込用.sql</v>
      </c>
    </row>
    <row r="23" spans="1:64" ht="37.5" hidden="1" customHeight="1" outlineLevel="1">
      <c r="A23" s="34" t="str">
        <f t="shared" si="12"/>
        <v>バックアップ_DPC6ICD10対応表マスタ取込用</v>
      </c>
      <c r="B23" s="153" t="str">
        <f t="shared" si="8"/>
        <v>01</v>
      </c>
      <c r="C23" s="154"/>
      <c r="D23" s="154"/>
      <c r="E23" s="154"/>
      <c r="F23" s="155"/>
      <c r="G23" s="156" t="s">
        <v>195</v>
      </c>
      <c r="H23" s="157"/>
      <c r="I23" s="157"/>
      <c r="J23" s="157"/>
      <c r="K23" s="157"/>
      <c r="L23" s="157"/>
      <c r="M23" s="157"/>
      <c r="N23" s="158"/>
      <c r="O23" s="77" t="s">
        <v>3151</v>
      </c>
      <c r="P23" s="146" t="s">
        <v>1929</v>
      </c>
      <c r="Q23" s="147"/>
      <c r="R23" s="147"/>
      <c r="S23" s="147"/>
      <c r="T23" s="147"/>
      <c r="U23" s="147"/>
      <c r="V23" s="147"/>
      <c r="W23" s="147"/>
      <c r="X23" s="147"/>
      <c r="Y23" s="147"/>
      <c r="Z23" s="147"/>
      <c r="AA23" s="147"/>
      <c r="AB23" s="147"/>
      <c r="AC23" s="147"/>
      <c r="AD23" s="148"/>
      <c r="AE23" s="142" t="str">
        <f t="shared" ca="1" si="13"/>
        <v>sgioy_202310_backup_mt_dpc6_icd</v>
      </c>
      <c r="AF23" s="143"/>
      <c r="AG23" s="143"/>
      <c r="AH23" s="143"/>
      <c r="AI23" s="143"/>
      <c r="AJ23" s="143"/>
      <c r="AK23" s="143"/>
      <c r="AL23" s="144"/>
      <c r="AM23" s="142" t="str">
        <f t="shared" ca="1" si="14"/>
        <v>DPC6ICD10対応表マスタ取込用テーブルから組入れ条件の第一条件で絞り込んだ結果を格納するテーブル</v>
      </c>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5"/>
      <c r="BK23" s="32" t="str">
        <f t="shared" si="15"/>
        <v>ENT_01_A3-05_バックアップ_DPC6ICD10対応表マスタ取込用.sql</v>
      </c>
    </row>
    <row r="24" spans="1:64" ht="37.5" hidden="1" customHeight="1" outlineLevel="1">
      <c r="A24" s="34" t="str">
        <f t="shared" si="12"/>
        <v>バックアップ_修飾語マスタ取込用</v>
      </c>
      <c r="B24" s="153" t="str">
        <f t="shared" si="8"/>
        <v>01</v>
      </c>
      <c r="C24" s="154"/>
      <c r="D24" s="154"/>
      <c r="E24" s="154"/>
      <c r="F24" s="155"/>
      <c r="G24" s="156" t="s">
        <v>195</v>
      </c>
      <c r="H24" s="157"/>
      <c r="I24" s="157"/>
      <c r="J24" s="157"/>
      <c r="K24" s="157"/>
      <c r="L24" s="157"/>
      <c r="M24" s="157"/>
      <c r="N24" s="158"/>
      <c r="O24" s="77" t="s">
        <v>3152</v>
      </c>
      <c r="P24" s="146" t="s">
        <v>1947</v>
      </c>
      <c r="Q24" s="147"/>
      <c r="R24" s="147"/>
      <c r="S24" s="147"/>
      <c r="T24" s="147"/>
      <c r="U24" s="147"/>
      <c r="V24" s="147"/>
      <c r="W24" s="147"/>
      <c r="X24" s="147"/>
      <c r="Y24" s="147"/>
      <c r="Z24" s="147"/>
      <c r="AA24" s="147"/>
      <c r="AB24" s="147"/>
      <c r="AC24" s="147"/>
      <c r="AD24" s="148"/>
      <c r="AE24" s="142" t="str">
        <f t="shared" ca="1" si="13"/>
        <v>sgioy_202310_backup_mt_syusyokugo</v>
      </c>
      <c r="AF24" s="143"/>
      <c r="AG24" s="143"/>
      <c r="AH24" s="143"/>
      <c r="AI24" s="143"/>
      <c r="AJ24" s="143"/>
      <c r="AK24" s="143"/>
      <c r="AL24" s="144"/>
      <c r="AM24" s="142" t="str">
        <f t="shared" ca="1" si="14"/>
        <v>修飾語マスタ取込用テーブルから組入れ条件の第一条件で絞り込んだ結果を格納するテーブル</v>
      </c>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5"/>
      <c r="BK24" s="32" t="str">
        <f t="shared" si="15"/>
        <v>ENT_01_A3-06_バックアップ_修飾語マスタ取込用.sql</v>
      </c>
    </row>
    <row r="25" spans="1:64" ht="37.5" hidden="1" customHeight="1" outlineLevel="1">
      <c r="A25" s="34" t="str">
        <f t="shared" si="12"/>
        <v>バックアップ_コメントマスタ取込用</v>
      </c>
      <c r="B25" s="153" t="str">
        <f t="shared" si="8"/>
        <v>01</v>
      </c>
      <c r="C25" s="154"/>
      <c r="D25" s="154"/>
      <c r="E25" s="154"/>
      <c r="F25" s="155"/>
      <c r="G25" s="156" t="s">
        <v>195</v>
      </c>
      <c r="H25" s="157"/>
      <c r="I25" s="157"/>
      <c r="J25" s="157"/>
      <c r="K25" s="157"/>
      <c r="L25" s="157"/>
      <c r="M25" s="157"/>
      <c r="N25" s="158"/>
      <c r="O25" s="77" t="s">
        <v>3153</v>
      </c>
      <c r="P25" s="146" t="s">
        <v>1984</v>
      </c>
      <c r="Q25" s="147"/>
      <c r="R25" s="147"/>
      <c r="S25" s="147"/>
      <c r="T25" s="147"/>
      <c r="U25" s="147"/>
      <c r="V25" s="147"/>
      <c r="W25" s="147"/>
      <c r="X25" s="147"/>
      <c r="Y25" s="147"/>
      <c r="Z25" s="147"/>
      <c r="AA25" s="147"/>
      <c r="AB25" s="147"/>
      <c r="AC25" s="147"/>
      <c r="AD25" s="148"/>
      <c r="AE25" s="142" t="str">
        <f t="shared" ca="1" si="13"/>
        <v>sgioy_202310_backup_mt_comment</v>
      </c>
      <c r="AF25" s="143"/>
      <c r="AG25" s="143"/>
      <c r="AH25" s="143"/>
      <c r="AI25" s="143"/>
      <c r="AJ25" s="143"/>
      <c r="AK25" s="143"/>
      <c r="AL25" s="144"/>
      <c r="AM25" s="142" t="str">
        <f t="shared" ca="1" si="14"/>
        <v>コメントマスタ取込用テーブルから組入れ条件の第一条件で絞り込んだ結果を格納するテーブル</v>
      </c>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5"/>
      <c r="BK25" s="32" t="str">
        <f t="shared" si="15"/>
        <v>ENT_01_A3-07_バックアップ_コメントマスタ取込用.sql</v>
      </c>
    </row>
    <row r="26" spans="1:64" ht="37.5" hidden="1" customHeight="1" outlineLevel="1">
      <c r="A26" s="34" t="str">
        <f t="shared" si="12"/>
        <v>バックアップ_成分量マスタ取込用</v>
      </c>
      <c r="B26" s="153" t="str">
        <f t="shared" si="8"/>
        <v>01</v>
      </c>
      <c r="C26" s="154"/>
      <c r="D26" s="154"/>
      <c r="E26" s="154"/>
      <c r="F26" s="155"/>
      <c r="G26" s="156" t="s">
        <v>195</v>
      </c>
      <c r="H26" s="157"/>
      <c r="I26" s="157"/>
      <c r="J26" s="157"/>
      <c r="K26" s="157"/>
      <c r="L26" s="157"/>
      <c r="M26" s="157"/>
      <c r="N26" s="158"/>
      <c r="O26" s="77" t="s">
        <v>3154</v>
      </c>
      <c r="P26" s="146" t="s">
        <v>2031</v>
      </c>
      <c r="Q26" s="147"/>
      <c r="R26" s="147"/>
      <c r="S26" s="147"/>
      <c r="T26" s="147"/>
      <c r="U26" s="147"/>
      <c r="V26" s="147"/>
      <c r="W26" s="147"/>
      <c r="X26" s="147"/>
      <c r="Y26" s="147"/>
      <c r="Z26" s="147"/>
      <c r="AA26" s="147"/>
      <c r="AB26" s="147"/>
      <c r="AC26" s="147"/>
      <c r="AD26" s="148"/>
      <c r="AE26" s="142" t="str">
        <f t="shared" ca="1" si="13"/>
        <v>sgioy_202310_backup_mt_seibunryo</v>
      </c>
      <c r="AF26" s="143"/>
      <c r="AG26" s="143"/>
      <c r="AH26" s="143"/>
      <c r="AI26" s="143"/>
      <c r="AJ26" s="143"/>
      <c r="AK26" s="143"/>
      <c r="AL26" s="144"/>
      <c r="AM26" s="142" t="str">
        <f t="shared" ca="1" si="14"/>
        <v>成分量マスタ取込用テーブルから組入れ条件の第一条件で絞り込んだ結果を格納するテーブル</v>
      </c>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5"/>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53" t="str">
        <f t="shared" si="8"/>
        <v>01</v>
      </c>
      <c r="C27" s="154"/>
      <c r="D27" s="154"/>
      <c r="E27" s="154"/>
      <c r="F27" s="155"/>
      <c r="G27" s="156" t="s">
        <v>195</v>
      </c>
      <c r="H27" s="157"/>
      <c r="I27" s="157"/>
      <c r="J27" s="157"/>
      <c r="K27" s="157"/>
      <c r="L27" s="157"/>
      <c r="M27" s="157"/>
      <c r="N27" s="158"/>
      <c r="O27" s="77" t="s">
        <v>3155</v>
      </c>
      <c r="P27" s="146" t="s">
        <v>2056</v>
      </c>
      <c r="Q27" s="147"/>
      <c r="R27" s="147"/>
      <c r="S27" s="147"/>
      <c r="T27" s="147"/>
      <c r="U27" s="147"/>
      <c r="V27" s="147"/>
      <c r="W27" s="147"/>
      <c r="X27" s="147"/>
      <c r="Y27" s="147"/>
      <c r="Z27" s="147"/>
      <c r="AA27" s="147"/>
      <c r="AB27" s="147"/>
      <c r="AC27" s="147"/>
      <c r="AD27" s="148"/>
      <c r="AE27" s="142" t="str">
        <f t="shared" ca="1" si="13"/>
        <v>sgioy_202310_backup_mt_seibun_name</v>
      </c>
      <c r="AF27" s="143"/>
      <c r="AG27" s="143"/>
      <c r="AH27" s="143"/>
      <c r="AI27" s="143"/>
      <c r="AJ27" s="143"/>
      <c r="AK27" s="143"/>
      <c r="AL27" s="144"/>
      <c r="AM27" s="142" t="str">
        <f t="shared" ca="1" si="14"/>
        <v>成分名マスタ取込用テーブルから組入れ条件の第一条件で絞り込んだ結果を格納するテーブル</v>
      </c>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5"/>
      <c r="BK27" s="32" t="str">
        <f t="shared" si="16"/>
        <v>ENT_01_A3-09_バックアップ_成分名マスタ取込用.sql</v>
      </c>
    </row>
    <row r="28" spans="1:64" ht="37.5" hidden="1" customHeight="1" outlineLevel="1">
      <c r="A28" s="34" t="str">
        <f t="shared" si="12"/>
        <v>バックアップ_単位マスタ取込用</v>
      </c>
      <c r="B28" s="153" t="str">
        <f t="shared" si="8"/>
        <v>01</v>
      </c>
      <c r="C28" s="154"/>
      <c r="D28" s="154"/>
      <c r="E28" s="154"/>
      <c r="F28" s="155"/>
      <c r="G28" s="156" t="s">
        <v>195</v>
      </c>
      <c r="H28" s="157"/>
      <c r="I28" s="157"/>
      <c r="J28" s="157"/>
      <c r="K28" s="157"/>
      <c r="L28" s="157"/>
      <c r="M28" s="157"/>
      <c r="N28" s="158"/>
      <c r="O28" s="77" t="s">
        <v>3156</v>
      </c>
      <c r="P28" s="146" t="s">
        <v>2077</v>
      </c>
      <c r="Q28" s="147"/>
      <c r="R28" s="147"/>
      <c r="S28" s="147"/>
      <c r="T28" s="147"/>
      <c r="U28" s="147"/>
      <c r="V28" s="147"/>
      <c r="W28" s="147"/>
      <c r="X28" s="147"/>
      <c r="Y28" s="147"/>
      <c r="Z28" s="147"/>
      <c r="AA28" s="147"/>
      <c r="AB28" s="147"/>
      <c r="AC28" s="147"/>
      <c r="AD28" s="148"/>
      <c r="AE28" s="142" t="str">
        <f t="shared" ca="1" si="13"/>
        <v>sgioy_202310_backup_mt_unit</v>
      </c>
      <c r="AF28" s="143"/>
      <c r="AG28" s="143"/>
      <c r="AH28" s="143"/>
      <c r="AI28" s="143"/>
      <c r="AJ28" s="143"/>
      <c r="AK28" s="143"/>
      <c r="AL28" s="144"/>
      <c r="AM28" s="142" t="str">
        <f t="shared" ca="1" si="14"/>
        <v>単位マスタ取込用テーブルから組入れ条件の第一条件で絞り込んだ結果を格納するテーブル</v>
      </c>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5"/>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53" t="str">
        <f t="shared" si="8"/>
        <v>01</v>
      </c>
      <c r="C29" s="154"/>
      <c r="D29" s="154"/>
      <c r="E29" s="154"/>
      <c r="F29" s="155"/>
      <c r="G29" s="156" t="s">
        <v>195</v>
      </c>
      <c r="H29" s="157"/>
      <c r="I29" s="157"/>
      <c r="J29" s="157"/>
      <c r="K29" s="157"/>
      <c r="L29" s="157"/>
      <c r="M29" s="157"/>
      <c r="N29" s="158"/>
      <c r="O29" s="77" t="s">
        <v>3157</v>
      </c>
      <c r="P29" s="146" t="s">
        <v>2084</v>
      </c>
      <c r="Q29" s="147"/>
      <c r="R29" s="147"/>
      <c r="S29" s="147"/>
      <c r="T29" s="147"/>
      <c r="U29" s="147"/>
      <c r="V29" s="147"/>
      <c r="W29" s="147"/>
      <c r="X29" s="147"/>
      <c r="Y29" s="147"/>
      <c r="Z29" s="147"/>
      <c r="AA29" s="147"/>
      <c r="AB29" s="147"/>
      <c r="AC29" s="147"/>
      <c r="AD29" s="148"/>
      <c r="AE29" s="142" t="str">
        <f t="shared" ca="1" si="13"/>
        <v>sgioy_202310_backup_mt_tekiyou_recept_combi_link</v>
      </c>
      <c r="AF29" s="143"/>
      <c r="AG29" s="143"/>
      <c r="AH29" s="143"/>
      <c r="AI29" s="143"/>
      <c r="AJ29" s="143"/>
      <c r="AK29" s="143"/>
      <c r="AL29" s="144"/>
      <c r="AM29" s="142" t="str">
        <f t="shared" ca="1" si="14"/>
        <v>適応病名レセ病名組み合わせ関係リンクマスタ取込用テーブルから組入れ条件の第一条件で絞り込んだ結果を格納するテーブル</v>
      </c>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5"/>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53" t="str">
        <f t="shared" si="8"/>
        <v>01</v>
      </c>
      <c r="C30" s="154"/>
      <c r="D30" s="154"/>
      <c r="E30" s="154"/>
      <c r="F30" s="155"/>
      <c r="G30" s="156" t="s">
        <v>195</v>
      </c>
      <c r="H30" s="157"/>
      <c r="I30" s="157"/>
      <c r="J30" s="157"/>
      <c r="K30" s="157"/>
      <c r="L30" s="157"/>
      <c r="M30" s="157"/>
      <c r="N30" s="158"/>
      <c r="O30" s="77" t="s">
        <v>3158</v>
      </c>
      <c r="P30" s="146" t="s">
        <v>2103</v>
      </c>
      <c r="Q30" s="147"/>
      <c r="R30" s="147"/>
      <c r="S30" s="147"/>
      <c r="T30" s="147"/>
      <c r="U30" s="147"/>
      <c r="V30" s="147"/>
      <c r="W30" s="147"/>
      <c r="X30" s="147"/>
      <c r="Y30" s="147"/>
      <c r="Z30" s="147"/>
      <c r="AA30" s="147"/>
      <c r="AB30" s="147"/>
      <c r="AC30" s="147"/>
      <c r="AD30" s="148"/>
      <c r="AE30" s="142" t="s">
        <v>2548</v>
      </c>
      <c r="AF30" s="143"/>
      <c r="AG30" s="143"/>
      <c r="AH30" s="143"/>
      <c r="AI30" s="143"/>
      <c r="AJ30" s="143"/>
      <c r="AK30" s="143"/>
      <c r="AL30" s="144"/>
      <c r="AM30" s="142" t="s">
        <v>2549</v>
      </c>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5"/>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53" t="str">
        <f t="shared" si="8"/>
        <v>01</v>
      </c>
      <c r="C31" s="154"/>
      <c r="D31" s="154"/>
      <c r="E31" s="154"/>
      <c r="F31" s="155"/>
      <c r="G31" s="156" t="s">
        <v>195</v>
      </c>
      <c r="H31" s="157"/>
      <c r="I31" s="157"/>
      <c r="J31" s="157"/>
      <c r="K31" s="157"/>
      <c r="L31" s="157"/>
      <c r="M31" s="157"/>
      <c r="N31" s="158"/>
      <c r="O31" s="77" t="s">
        <v>3159</v>
      </c>
      <c r="P31" s="146" t="s">
        <v>2104</v>
      </c>
      <c r="Q31" s="147"/>
      <c r="R31" s="147"/>
      <c r="S31" s="147"/>
      <c r="T31" s="147"/>
      <c r="U31" s="147"/>
      <c r="V31" s="147"/>
      <c r="W31" s="147"/>
      <c r="X31" s="147"/>
      <c r="Y31" s="147"/>
      <c r="Z31" s="147"/>
      <c r="AA31" s="147"/>
      <c r="AB31" s="147"/>
      <c r="AC31" s="147"/>
      <c r="AD31" s="148"/>
      <c r="AE31" s="142" t="str">
        <f t="shared" ca="1" si="13"/>
        <v>sgioy_202310_backup_mt_tekiyou_byoumei</v>
      </c>
      <c r="AF31" s="143"/>
      <c r="AG31" s="143"/>
      <c r="AH31" s="143"/>
      <c r="AI31" s="143"/>
      <c r="AJ31" s="143"/>
      <c r="AK31" s="143"/>
      <c r="AL31" s="144"/>
      <c r="AM31" s="142" t="str">
        <f t="shared" ca="1" si="14"/>
        <v>適用病名マスタ取込用テーブルから組入れ条件の第一条件で絞り込んだ結果を格納するテーブル</v>
      </c>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5"/>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53" t="str">
        <f t="shared" si="8"/>
        <v>01</v>
      </c>
      <c r="C32" s="154"/>
      <c r="D32" s="154"/>
      <c r="E32" s="154"/>
      <c r="F32" s="155"/>
      <c r="G32" s="156" t="s">
        <v>195</v>
      </c>
      <c r="H32" s="157"/>
      <c r="I32" s="157"/>
      <c r="J32" s="157"/>
      <c r="K32" s="157"/>
      <c r="L32" s="157"/>
      <c r="M32" s="157"/>
      <c r="N32" s="158"/>
      <c r="O32" s="77" t="s">
        <v>3160</v>
      </c>
      <c r="P32" s="146" t="s">
        <v>2113</v>
      </c>
      <c r="Q32" s="147"/>
      <c r="R32" s="147"/>
      <c r="S32" s="147"/>
      <c r="T32" s="147"/>
      <c r="U32" s="147"/>
      <c r="V32" s="147"/>
      <c r="W32" s="147"/>
      <c r="X32" s="147"/>
      <c r="Y32" s="147"/>
      <c r="Z32" s="147"/>
      <c r="AA32" s="147"/>
      <c r="AB32" s="147"/>
      <c r="AC32" s="147"/>
      <c r="AD32" s="148"/>
      <c r="AE32" s="142" t="str">
        <f t="shared" ca="1" si="13"/>
        <v>sgioy_202310_backup_mt_yjcode_receptdensancode_link</v>
      </c>
      <c r="AF32" s="143"/>
      <c r="AG32" s="143"/>
      <c r="AH32" s="143"/>
      <c r="AI32" s="143"/>
      <c r="AJ32" s="143"/>
      <c r="AK32" s="143"/>
      <c r="AL32" s="144"/>
      <c r="AM32" s="142" t="str">
        <f t="shared" ca="1" si="14"/>
        <v>ＹＪコード医薬品コードリンクマスタ取込用テーブルから組入れ条件の第一条件で絞り込んだ結果を格納するテーブル</v>
      </c>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5"/>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53" t="str">
        <f t="shared" si="8"/>
        <v>01</v>
      </c>
      <c r="C33" s="154"/>
      <c r="D33" s="154"/>
      <c r="E33" s="154"/>
      <c r="F33" s="155"/>
      <c r="G33" s="156" t="s">
        <v>195</v>
      </c>
      <c r="H33" s="157"/>
      <c r="I33" s="157"/>
      <c r="J33" s="157"/>
      <c r="K33" s="157"/>
      <c r="L33" s="157"/>
      <c r="M33" s="157"/>
      <c r="N33" s="158"/>
      <c r="O33" s="77" t="s">
        <v>3161</v>
      </c>
      <c r="P33" s="146" t="s">
        <v>2123</v>
      </c>
      <c r="Q33" s="147"/>
      <c r="R33" s="147"/>
      <c r="S33" s="147"/>
      <c r="T33" s="147"/>
      <c r="U33" s="147"/>
      <c r="V33" s="147"/>
      <c r="W33" s="147"/>
      <c r="X33" s="147"/>
      <c r="Y33" s="147"/>
      <c r="Z33" s="147"/>
      <c r="AA33" s="147"/>
      <c r="AB33" s="147"/>
      <c r="AC33" s="147"/>
      <c r="AD33" s="148"/>
      <c r="AE33" s="142" t="str">
        <f t="shared" ca="1" si="13"/>
        <v>sgioy_202310_backup_mt_shinryo_koi_fuka</v>
      </c>
      <c r="AF33" s="143"/>
      <c r="AG33" s="143"/>
      <c r="AH33" s="143"/>
      <c r="AI33" s="143"/>
      <c r="AJ33" s="143"/>
      <c r="AK33" s="143"/>
      <c r="AL33" s="144"/>
      <c r="AM33" s="142" t="str">
        <f t="shared" ca="1" si="14"/>
        <v>診療行為付加情報マスタ取込用テーブルから組入れ条件の第一条件で絞り込んだ結果を格納するテーブル</v>
      </c>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5"/>
      <c r="BK33" s="32" t="str">
        <f t="shared" si="16"/>
        <v>ENT_01_A3-15_バックアップ_診療行為付加情報マスタ取込用.sql</v>
      </c>
    </row>
    <row r="34" spans="1:63" ht="37.5" hidden="1" customHeight="1" outlineLevel="1">
      <c r="A34" s="34" t="str">
        <f t="shared" si="12"/>
        <v>バックアップ_処理対象施設マスタ</v>
      </c>
      <c r="B34" s="153" t="str">
        <f t="shared" si="8"/>
        <v>01</v>
      </c>
      <c r="C34" s="154"/>
      <c r="D34" s="154"/>
      <c r="E34" s="154"/>
      <c r="F34" s="155"/>
      <c r="G34" s="156" t="s">
        <v>195</v>
      </c>
      <c r="H34" s="157"/>
      <c r="I34" s="157"/>
      <c r="J34" s="157"/>
      <c r="K34" s="157"/>
      <c r="L34" s="157"/>
      <c r="M34" s="157"/>
      <c r="N34" s="158"/>
      <c r="O34" s="77" t="s">
        <v>3162</v>
      </c>
      <c r="P34" s="146" t="s">
        <v>2404</v>
      </c>
      <c r="Q34" s="147"/>
      <c r="R34" s="147"/>
      <c r="S34" s="147"/>
      <c r="T34" s="147"/>
      <c r="U34" s="147"/>
      <c r="V34" s="147"/>
      <c r="W34" s="147"/>
      <c r="X34" s="147"/>
      <c r="Y34" s="147"/>
      <c r="Z34" s="147"/>
      <c r="AA34" s="147"/>
      <c r="AB34" s="147"/>
      <c r="AC34" s="147"/>
      <c r="AD34" s="148"/>
      <c r="AE34" s="142" t="str">
        <f t="shared" ca="1" si="13"/>
        <v>sgioy_202310_backup_mt_shori_shisetsu</v>
      </c>
      <c r="AF34" s="143"/>
      <c r="AG34" s="143"/>
      <c r="AH34" s="143"/>
      <c r="AI34" s="143"/>
      <c r="AJ34" s="143"/>
      <c r="AK34" s="143"/>
      <c r="AL34" s="144"/>
      <c r="AM34" s="142" t="str">
        <f t="shared" ca="1" si="14"/>
        <v>処理対象施設マスタテーブルから組入れ条件の第一条件で絞り込んだ結果を格納するテーブル</v>
      </c>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5"/>
      <c r="BK34" s="32" t="str">
        <f t="shared" si="16"/>
        <v>ENT_01_A3-16_バックアップ_処理対象施設マスタ.sql</v>
      </c>
    </row>
    <row r="35" spans="1:63" ht="37.5" hidden="1" customHeight="1" outlineLevel="1">
      <c r="A35" s="34" t="str">
        <f t="shared" si="12"/>
        <v>バックアップ_処理対象施設マスタ管理</v>
      </c>
      <c r="B35" s="153" t="str">
        <f t="shared" si="8"/>
        <v>01</v>
      </c>
      <c r="C35" s="154"/>
      <c r="D35" s="154"/>
      <c r="E35" s="154"/>
      <c r="F35" s="155"/>
      <c r="G35" s="156" t="s">
        <v>195</v>
      </c>
      <c r="H35" s="157"/>
      <c r="I35" s="157"/>
      <c r="J35" s="157"/>
      <c r="K35" s="157"/>
      <c r="L35" s="157"/>
      <c r="M35" s="157"/>
      <c r="N35" s="158"/>
      <c r="O35" s="77" t="s">
        <v>3224</v>
      </c>
      <c r="P35" s="146" t="s">
        <v>2433</v>
      </c>
      <c r="Q35" s="147"/>
      <c r="R35" s="147"/>
      <c r="S35" s="147"/>
      <c r="T35" s="147"/>
      <c r="U35" s="147"/>
      <c r="V35" s="147"/>
      <c r="W35" s="147"/>
      <c r="X35" s="147"/>
      <c r="Y35" s="147"/>
      <c r="Z35" s="147"/>
      <c r="AA35" s="147"/>
      <c r="AB35" s="147"/>
      <c r="AC35" s="147"/>
      <c r="AD35" s="148"/>
      <c r="AE35" s="142" t="str">
        <f t="shared" ca="1" si="13"/>
        <v>sgioy_202310_backup_mt_shori_shisetsu_manage</v>
      </c>
      <c r="AF35" s="143"/>
      <c r="AG35" s="143"/>
      <c r="AH35" s="143"/>
      <c r="AI35" s="143"/>
      <c r="AJ35" s="143"/>
      <c r="AK35" s="143"/>
      <c r="AL35" s="144"/>
      <c r="AM35" s="142" t="str">
        <f t="shared" ca="1" si="14"/>
        <v>処理対象施設マスタ管理テーブルから組入れ条件の第一条件で絞り込んだ結果を格納するテーブル</v>
      </c>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5"/>
      <c r="BK35" s="32" t="str">
        <f t="shared" si="16"/>
        <v>ENT_01_A3-17_バックアップ_処理対象施設マスタ管理.sql</v>
      </c>
    </row>
    <row r="36" spans="1:63" ht="37.5" hidden="1" customHeight="1" outlineLevel="1">
      <c r="A36" s="34" t="str">
        <f t="shared" ref="A36:A51" si="17">P36</f>
        <v>バックアップ_医薬品マスタ</v>
      </c>
      <c r="B36" s="153" t="str">
        <f t="shared" si="8"/>
        <v>01</v>
      </c>
      <c r="C36" s="154"/>
      <c r="D36" s="154"/>
      <c r="E36" s="154"/>
      <c r="F36" s="155"/>
      <c r="G36" s="156" t="s">
        <v>195</v>
      </c>
      <c r="H36" s="157"/>
      <c r="I36" s="157"/>
      <c r="J36" s="157"/>
      <c r="K36" s="157"/>
      <c r="L36" s="157"/>
      <c r="M36" s="157"/>
      <c r="N36" s="158"/>
      <c r="O36" s="77" t="s">
        <v>3225</v>
      </c>
      <c r="P36" s="146" t="s">
        <v>3245</v>
      </c>
      <c r="Q36" s="147"/>
      <c r="R36" s="147"/>
      <c r="S36" s="147"/>
      <c r="T36" s="147"/>
      <c r="U36" s="147"/>
      <c r="V36" s="147"/>
      <c r="W36" s="147"/>
      <c r="X36" s="147"/>
      <c r="Y36" s="147"/>
      <c r="Z36" s="147"/>
      <c r="AA36" s="147"/>
      <c r="AB36" s="147"/>
      <c r="AC36" s="147"/>
      <c r="AD36" s="148"/>
      <c r="AE36" s="142" t="str">
        <f t="shared" ref="AE36:AE45" ca="1" si="18">IFERROR(INDIRECT(P36&amp;"!D8"),"")</f>
        <v>sgioy_202310_backup_mt_iyakuhin</v>
      </c>
      <c r="AF36" s="143"/>
      <c r="AG36" s="143"/>
      <c r="AH36" s="143"/>
      <c r="AI36" s="143"/>
      <c r="AJ36" s="143"/>
      <c r="AK36" s="143"/>
      <c r="AL36" s="144"/>
      <c r="AM36" s="142" t="str">
        <f t="shared" ref="AM36:AM45" ca="1" si="19">IFERROR(INDIRECT(P36&amp;"!D9"),"")</f>
        <v>医薬品マスタテーブルから組入れ条件の第一条件で絞り込んだ結果を格納するテーブル</v>
      </c>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5"/>
      <c r="BK36" s="32" t="str">
        <f t="shared" si="16"/>
        <v>ENT_01_A3-18_バックアップ_医薬品マスタ.sql</v>
      </c>
    </row>
    <row r="37" spans="1:63" ht="37.5" hidden="1" customHeight="1" outlineLevel="1">
      <c r="A37" s="34" t="str">
        <f t="shared" si="17"/>
        <v>バックアップ_医薬品ブランドマスタ</v>
      </c>
      <c r="B37" s="153" t="str">
        <f t="shared" si="8"/>
        <v>01</v>
      </c>
      <c r="C37" s="154"/>
      <c r="D37" s="154"/>
      <c r="E37" s="154"/>
      <c r="F37" s="155"/>
      <c r="G37" s="156" t="s">
        <v>195</v>
      </c>
      <c r="H37" s="157"/>
      <c r="I37" s="157"/>
      <c r="J37" s="157"/>
      <c r="K37" s="157"/>
      <c r="L37" s="157"/>
      <c r="M37" s="157"/>
      <c r="N37" s="158"/>
      <c r="O37" s="77" t="s">
        <v>3226</v>
      </c>
      <c r="P37" s="146" t="s">
        <v>3246</v>
      </c>
      <c r="Q37" s="147"/>
      <c r="R37" s="147"/>
      <c r="S37" s="147"/>
      <c r="T37" s="147"/>
      <c r="U37" s="147"/>
      <c r="V37" s="147"/>
      <c r="W37" s="147"/>
      <c r="X37" s="147"/>
      <c r="Y37" s="147"/>
      <c r="Z37" s="147"/>
      <c r="AA37" s="147"/>
      <c r="AB37" s="147"/>
      <c r="AC37" s="147"/>
      <c r="AD37" s="148"/>
      <c r="AE37" s="142" t="str">
        <f t="shared" ca="1" si="18"/>
        <v>sgioy_202310_backup_mt_iyakuhin_brand</v>
      </c>
      <c r="AF37" s="143"/>
      <c r="AG37" s="143"/>
      <c r="AH37" s="143"/>
      <c r="AI37" s="143"/>
      <c r="AJ37" s="143"/>
      <c r="AK37" s="143"/>
      <c r="AL37" s="144"/>
      <c r="AM37" s="142" t="str">
        <f t="shared" ca="1" si="19"/>
        <v>医薬品ブランドマスタテーブルから組入れ条件の第一条件で絞り込んだ結果を格納するテーブル</v>
      </c>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5"/>
      <c r="BK37" s="32" t="str">
        <f t="shared" si="16"/>
        <v>ENT_01_A3-19_バックアップ_医薬品ブランドマスタ.sql</v>
      </c>
    </row>
    <row r="38" spans="1:63" ht="37.5" hidden="1" customHeight="1" outlineLevel="1">
      <c r="A38" s="34" t="str">
        <f t="shared" si="17"/>
        <v>バックアップ_医薬品一般名マスタ</v>
      </c>
      <c r="B38" s="153" t="str">
        <f t="shared" ref="B38:B106" si="20">TEXT(1,"00")</f>
        <v>01</v>
      </c>
      <c r="C38" s="154"/>
      <c r="D38" s="154"/>
      <c r="E38" s="154"/>
      <c r="F38" s="155"/>
      <c r="G38" s="156" t="s">
        <v>195</v>
      </c>
      <c r="H38" s="157"/>
      <c r="I38" s="157"/>
      <c r="J38" s="157"/>
      <c r="K38" s="157"/>
      <c r="L38" s="157"/>
      <c r="M38" s="157"/>
      <c r="N38" s="158"/>
      <c r="O38" s="77" t="s">
        <v>3227</v>
      </c>
      <c r="P38" s="146" t="s">
        <v>3247</v>
      </c>
      <c r="Q38" s="147"/>
      <c r="R38" s="147"/>
      <c r="S38" s="147"/>
      <c r="T38" s="147"/>
      <c r="U38" s="147"/>
      <c r="V38" s="147"/>
      <c r="W38" s="147"/>
      <c r="X38" s="147"/>
      <c r="Y38" s="147"/>
      <c r="Z38" s="147"/>
      <c r="AA38" s="147"/>
      <c r="AB38" s="147"/>
      <c r="AC38" s="147"/>
      <c r="AD38" s="148"/>
      <c r="AE38" s="142" t="str">
        <f t="shared" ca="1" si="18"/>
        <v>sgioy_202310_backup_mt_iyakuhin_ippan_name</v>
      </c>
      <c r="AF38" s="143"/>
      <c r="AG38" s="143"/>
      <c r="AH38" s="143"/>
      <c r="AI38" s="143"/>
      <c r="AJ38" s="143"/>
      <c r="AK38" s="143"/>
      <c r="AL38" s="144"/>
      <c r="AM38" s="142" t="str">
        <f t="shared" ca="1" si="19"/>
        <v>医薬品一般名マスタテーブルから組入れ条件の第一条件で絞り込んだ結果を格納するテーブル</v>
      </c>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5"/>
      <c r="BK38" s="32" t="str">
        <f t="shared" si="16"/>
        <v>ENT_01_A3-20_バックアップ_医薬品一般名マスタ.sql</v>
      </c>
    </row>
    <row r="39" spans="1:63" ht="37.5" hidden="1" customHeight="1" outlineLevel="1">
      <c r="A39" s="34" t="str">
        <f t="shared" si="17"/>
        <v>バックアップ_医薬品販売会社マスタ</v>
      </c>
      <c r="B39" s="153" t="str">
        <f t="shared" si="20"/>
        <v>01</v>
      </c>
      <c r="C39" s="154"/>
      <c r="D39" s="154"/>
      <c r="E39" s="154"/>
      <c r="F39" s="155"/>
      <c r="G39" s="156" t="s">
        <v>195</v>
      </c>
      <c r="H39" s="157"/>
      <c r="I39" s="157"/>
      <c r="J39" s="157"/>
      <c r="K39" s="157"/>
      <c r="L39" s="157"/>
      <c r="M39" s="157"/>
      <c r="N39" s="158"/>
      <c r="O39" s="77" t="s">
        <v>3228</v>
      </c>
      <c r="P39" s="146" t="s">
        <v>3248</v>
      </c>
      <c r="Q39" s="147"/>
      <c r="R39" s="147"/>
      <c r="S39" s="147"/>
      <c r="T39" s="147"/>
      <c r="U39" s="147"/>
      <c r="V39" s="147"/>
      <c r="W39" s="147"/>
      <c r="X39" s="147"/>
      <c r="Y39" s="147"/>
      <c r="Z39" s="147"/>
      <c r="AA39" s="147"/>
      <c r="AB39" s="147"/>
      <c r="AC39" s="147"/>
      <c r="AD39" s="148"/>
      <c r="AE39" s="142" t="str">
        <f t="shared" ca="1" si="18"/>
        <v>sgioy_202310_backup_mt_iyakuhin_sales_kaisha</v>
      </c>
      <c r="AF39" s="143"/>
      <c r="AG39" s="143"/>
      <c r="AH39" s="143"/>
      <c r="AI39" s="143"/>
      <c r="AJ39" s="143"/>
      <c r="AK39" s="143"/>
      <c r="AL39" s="144"/>
      <c r="AM39" s="142" t="str">
        <f t="shared" ca="1" si="19"/>
        <v>医薬品販売会社マスタテーブルから組入れ条件の第一条件で絞り込んだ結果を格納するテーブル</v>
      </c>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5"/>
      <c r="BK39" s="32" t="str">
        <f t="shared" si="16"/>
        <v>ENT_01_A3-21_バックアップ_医薬品販売会社マスタ.sql</v>
      </c>
    </row>
    <row r="40" spans="1:63" ht="37.5" hidden="1" customHeight="1" outlineLevel="1">
      <c r="A40" s="34" t="str">
        <f t="shared" si="17"/>
        <v>バックアップ_メーカマスタ</v>
      </c>
      <c r="B40" s="153" t="str">
        <f t="shared" si="20"/>
        <v>01</v>
      </c>
      <c r="C40" s="154"/>
      <c r="D40" s="154"/>
      <c r="E40" s="154"/>
      <c r="F40" s="155"/>
      <c r="G40" s="156" t="s">
        <v>195</v>
      </c>
      <c r="H40" s="157"/>
      <c r="I40" s="157"/>
      <c r="J40" s="157"/>
      <c r="K40" s="157"/>
      <c r="L40" s="157"/>
      <c r="M40" s="157"/>
      <c r="N40" s="158"/>
      <c r="O40" s="77" t="s">
        <v>3229</v>
      </c>
      <c r="P40" s="146" t="s">
        <v>3249</v>
      </c>
      <c r="Q40" s="147"/>
      <c r="R40" s="147"/>
      <c r="S40" s="147"/>
      <c r="T40" s="147"/>
      <c r="U40" s="147"/>
      <c r="V40" s="147"/>
      <c r="W40" s="147"/>
      <c r="X40" s="147"/>
      <c r="Y40" s="147"/>
      <c r="Z40" s="147"/>
      <c r="AA40" s="147"/>
      <c r="AB40" s="147"/>
      <c r="AC40" s="147"/>
      <c r="AD40" s="148"/>
      <c r="AE40" s="142" t="str">
        <f t="shared" ca="1" si="18"/>
        <v>sgioy_202310_backup_mt_maker</v>
      </c>
      <c r="AF40" s="143"/>
      <c r="AG40" s="143"/>
      <c r="AH40" s="143"/>
      <c r="AI40" s="143"/>
      <c r="AJ40" s="143"/>
      <c r="AK40" s="143"/>
      <c r="AL40" s="144"/>
      <c r="AM40" s="142" t="str">
        <f t="shared" ca="1" si="19"/>
        <v>メーカマスタテーブルから組入れ条件の第一条件で絞り込んだ結果を格納するテーブル</v>
      </c>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5"/>
      <c r="BK40" s="32" t="str">
        <f t="shared" si="16"/>
        <v>ENT_01_A3-22_バックアップ_メーカマスタ.sql</v>
      </c>
    </row>
    <row r="41" spans="1:63" ht="37.5" hidden="1" customHeight="1" outlineLevel="1">
      <c r="A41" s="34" t="str">
        <f t="shared" si="17"/>
        <v>バックアップ_薬価マスタ</v>
      </c>
      <c r="B41" s="153" t="str">
        <f t="shared" si="20"/>
        <v>01</v>
      </c>
      <c r="C41" s="154"/>
      <c r="D41" s="154"/>
      <c r="E41" s="154"/>
      <c r="F41" s="155"/>
      <c r="G41" s="156" t="s">
        <v>195</v>
      </c>
      <c r="H41" s="157"/>
      <c r="I41" s="157"/>
      <c r="J41" s="157"/>
      <c r="K41" s="157"/>
      <c r="L41" s="157"/>
      <c r="M41" s="157"/>
      <c r="N41" s="158"/>
      <c r="O41" s="77" t="s">
        <v>3230</v>
      </c>
      <c r="P41" s="146" t="s">
        <v>3250</v>
      </c>
      <c r="Q41" s="147"/>
      <c r="R41" s="147"/>
      <c r="S41" s="147"/>
      <c r="T41" s="147"/>
      <c r="U41" s="147"/>
      <c r="V41" s="147"/>
      <c r="W41" s="147"/>
      <c r="X41" s="147"/>
      <c r="Y41" s="147"/>
      <c r="Z41" s="147"/>
      <c r="AA41" s="147"/>
      <c r="AB41" s="147"/>
      <c r="AC41" s="147"/>
      <c r="AD41" s="148"/>
      <c r="AE41" s="142" t="str">
        <f t="shared" ca="1" si="18"/>
        <v>sgioy_202310_backup_mt_price</v>
      </c>
      <c r="AF41" s="143"/>
      <c r="AG41" s="143"/>
      <c r="AH41" s="143"/>
      <c r="AI41" s="143"/>
      <c r="AJ41" s="143"/>
      <c r="AK41" s="143"/>
      <c r="AL41" s="144"/>
      <c r="AM41" s="142" t="str">
        <f t="shared" ca="1" si="19"/>
        <v>薬価マスタテーブルから組入れ条件の第一条件で絞り込んだ結果を格納するテーブル</v>
      </c>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5"/>
      <c r="BK41" s="32" t="str">
        <f t="shared" si="16"/>
        <v>ENT_01_A3-23_バックアップ_薬価マスタ.sql</v>
      </c>
    </row>
    <row r="42" spans="1:63" ht="37.5" hidden="1" customHeight="1" outlineLevel="1">
      <c r="A42" s="34" t="str">
        <f t="shared" si="17"/>
        <v>バックアップ_薬効ATC分類1マスタ</v>
      </c>
      <c r="B42" s="153" t="str">
        <f t="shared" si="20"/>
        <v>01</v>
      </c>
      <c r="C42" s="154"/>
      <c r="D42" s="154"/>
      <c r="E42" s="154"/>
      <c r="F42" s="155"/>
      <c r="G42" s="156" t="s">
        <v>195</v>
      </c>
      <c r="H42" s="157"/>
      <c r="I42" s="157"/>
      <c r="J42" s="157"/>
      <c r="K42" s="157"/>
      <c r="L42" s="157"/>
      <c r="M42" s="157"/>
      <c r="N42" s="158"/>
      <c r="O42" s="77" t="s">
        <v>3231</v>
      </c>
      <c r="P42" s="146" t="s">
        <v>3251</v>
      </c>
      <c r="Q42" s="147"/>
      <c r="R42" s="147"/>
      <c r="S42" s="147"/>
      <c r="T42" s="147"/>
      <c r="U42" s="147"/>
      <c r="V42" s="147"/>
      <c r="W42" s="147"/>
      <c r="X42" s="147"/>
      <c r="Y42" s="147"/>
      <c r="Z42" s="147"/>
      <c r="AA42" s="147"/>
      <c r="AB42" s="147"/>
      <c r="AC42" s="147"/>
      <c r="AD42" s="148"/>
      <c r="AE42" s="142" t="str">
        <f t="shared" ca="1" si="18"/>
        <v>sgioy_202310_backup_mt_yakko_atc1</v>
      </c>
      <c r="AF42" s="143"/>
      <c r="AG42" s="143"/>
      <c r="AH42" s="143"/>
      <c r="AI42" s="143"/>
      <c r="AJ42" s="143"/>
      <c r="AK42" s="143"/>
      <c r="AL42" s="144"/>
      <c r="AM42" s="142" t="str">
        <f t="shared" ca="1" si="19"/>
        <v>薬効ATC分類1マスタテーブルから組入れ条件の第一条件で絞り込んだ結果を格納するテーブル</v>
      </c>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5"/>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53" t="str">
        <f t="shared" si="20"/>
        <v>01</v>
      </c>
      <c r="C43" s="154"/>
      <c r="D43" s="154"/>
      <c r="E43" s="154"/>
      <c r="F43" s="155"/>
      <c r="G43" s="156" t="s">
        <v>195</v>
      </c>
      <c r="H43" s="157"/>
      <c r="I43" s="157"/>
      <c r="J43" s="157"/>
      <c r="K43" s="157"/>
      <c r="L43" s="157"/>
      <c r="M43" s="157"/>
      <c r="N43" s="158"/>
      <c r="O43" s="77" t="s">
        <v>3232</v>
      </c>
      <c r="P43" s="146" t="s">
        <v>3252</v>
      </c>
      <c r="Q43" s="147"/>
      <c r="R43" s="147"/>
      <c r="S43" s="147"/>
      <c r="T43" s="147"/>
      <c r="U43" s="147"/>
      <c r="V43" s="147"/>
      <c r="W43" s="147"/>
      <c r="X43" s="147"/>
      <c r="Y43" s="147"/>
      <c r="Z43" s="147"/>
      <c r="AA43" s="147"/>
      <c r="AB43" s="147"/>
      <c r="AC43" s="147"/>
      <c r="AD43" s="148"/>
      <c r="AE43" s="142" t="str">
        <f t="shared" ca="1" si="18"/>
        <v>sgioy_202310_backup_mt_yakko_atc2</v>
      </c>
      <c r="AF43" s="143"/>
      <c r="AG43" s="143"/>
      <c r="AH43" s="143"/>
      <c r="AI43" s="143"/>
      <c r="AJ43" s="143"/>
      <c r="AK43" s="143"/>
      <c r="AL43" s="144"/>
      <c r="AM43" s="142" t="str">
        <f t="shared" ca="1" si="19"/>
        <v>薬効ATC分類2マスタテーブルから組入れ条件の第一条件で絞り込んだ結果を格納するテーブル</v>
      </c>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5"/>
      <c r="BK43" s="32" t="str">
        <f t="shared" si="21"/>
        <v>ENT_01_A3-25_バックアップ_薬効ATC分類2マスタ.sql</v>
      </c>
    </row>
    <row r="44" spans="1:63" ht="37.5" hidden="1" customHeight="1" outlineLevel="1">
      <c r="A44" s="34" t="str">
        <f t="shared" si="17"/>
        <v>バックアップ_薬効ATC分類3マスタ</v>
      </c>
      <c r="B44" s="153" t="str">
        <f t="shared" si="20"/>
        <v>01</v>
      </c>
      <c r="C44" s="154"/>
      <c r="D44" s="154"/>
      <c r="E44" s="154"/>
      <c r="F44" s="155"/>
      <c r="G44" s="156" t="s">
        <v>195</v>
      </c>
      <c r="H44" s="157"/>
      <c r="I44" s="157"/>
      <c r="J44" s="157"/>
      <c r="K44" s="157"/>
      <c r="L44" s="157"/>
      <c r="M44" s="157"/>
      <c r="N44" s="158"/>
      <c r="O44" s="77" t="s">
        <v>3233</v>
      </c>
      <c r="P44" s="146" t="s">
        <v>3253</v>
      </c>
      <c r="Q44" s="147"/>
      <c r="R44" s="147"/>
      <c r="S44" s="147"/>
      <c r="T44" s="147"/>
      <c r="U44" s="147"/>
      <c r="V44" s="147"/>
      <c r="W44" s="147"/>
      <c r="X44" s="147"/>
      <c r="Y44" s="147"/>
      <c r="Z44" s="147"/>
      <c r="AA44" s="147"/>
      <c r="AB44" s="147"/>
      <c r="AC44" s="147"/>
      <c r="AD44" s="148"/>
      <c r="AE44" s="142" t="str">
        <f t="shared" ca="1" si="18"/>
        <v>sgioy_202310_backup_mt_yakko_atc3</v>
      </c>
      <c r="AF44" s="143"/>
      <c r="AG44" s="143"/>
      <c r="AH44" s="143"/>
      <c r="AI44" s="143"/>
      <c r="AJ44" s="143"/>
      <c r="AK44" s="143"/>
      <c r="AL44" s="144"/>
      <c r="AM44" s="142" t="str">
        <f t="shared" ca="1" si="19"/>
        <v>薬効ATC分類3マスタテーブルから組入れ条件の第一条件で絞り込んだ結果を格納するテーブル</v>
      </c>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5"/>
      <c r="BK44" s="32" t="str">
        <f t="shared" si="21"/>
        <v>ENT_01_A3-26_バックアップ_薬効ATC分類3マスタ.sql</v>
      </c>
    </row>
    <row r="45" spans="1:63" ht="37.5" hidden="1" customHeight="1" outlineLevel="1">
      <c r="A45" s="34" t="str">
        <f t="shared" si="17"/>
        <v>バックアップ_薬効ATC分類4マスタ</v>
      </c>
      <c r="B45" s="153" t="str">
        <f t="shared" si="20"/>
        <v>01</v>
      </c>
      <c r="C45" s="154"/>
      <c r="D45" s="154"/>
      <c r="E45" s="154"/>
      <c r="F45" s="155"/>
      <c r="G45" s="156" t="s">
        <v>195</v>
      </c>
      <c r="H45" s="157"/>
      <c r="I45" s="157"/>
      <c r="J45" s="157"/>
      <c r="K45" s="157"/>
      <c r="L45" s="157"/>
      <c r="M45" s="157"/>
      <c r="N45" s="158"/>
      <c r="O45" s="77" t="s">
        <v>3234</v>
      </c>
      <c r="P45" s="146" t="s">
        <v>3254</v>
      </c>
      <c r="Q45" s="147"/>
      <c r="R45" s="147"/>
      <c r="S45" s="147"/>
      <c r="T45" s="147"/>
      <c r="U45" s="147"/>
      <c r="V45" s="147"/>
      <c r="W45" s="147"/>
      <c r="X45" s="147"/>
      <c r="Y45" s="147"/>
      <c r="Z45" s="147"/>
      <c r="AA45" s="147"/>
      <c r="AB45" s="147"/>
      <c r="AC45" s="147"/>
      <c r="AD45" s="148"/>
      <c r="AE45" s="142" t="str">
        <f t="shared" ca="1" si="18"/>
        <v>sgioy_202310_backup_mt_yakko_atc4</v>
      </c>
      <c r="AF45" s="143"/>
      <c r="AG45" s="143"/>
      <c r="AH45" s="143"/>
      <c r="AI45" s="143"/>
      <c r="AJ45" s="143"/>
      <c r="AK45" s="143"/>
      <c r="AL45" s="144"/>
      <c r="AM45" s="142" t="str">
        <f t="shared" ca="1" si="19"/>
        <v>薬効ATC分類4マスタテーブルから組入れ条件の第一条件で絞り込んだ結果を格納するテーブル</v>
      </c>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5"/>
      <c r="BK45" s="32" t="str">
        <f t="shared" si="21"/>
        <v>ENT_01_A3-27_バックアップ_薬効ATC分類4マスタ.sql</v>
      </c>
    </row>
    <row r="46" spans="1:63" ht="37.5" hidden="1" customHeight="1" outlineLevel="1">
      <c r="A46" s="34" t="str">
        <f t="shared" si="17"/>
        <v>バックアップ_薬効ATC分類5マスタ</v>
      </c>
      <c r="B46" s="153" t="str">
        <f t="shared" si="20"/>
        <v>01</v>
      </c>
      <c r="C46" s="154"/>
      <c r="D46" s="154"/>
      <c r="E46" s="154"/>
      <c r="F46" s="155"/>
      <c r="G46" s="156" t="s">
        <v>195</v>
      </c>
      <c r="H46" s="157"/>
      <c r="I46" s="157"/>
      <c r="J46" s="157"/>
      <c r="K46" s="157"/>
      <c r="L46" s="157"/>
      <c r="M46" s="157"/>
      <c r="N46" s="158"/>
      <c r="O46" s="77" t="s">
        <v>3235</v>
      </c>
      <c r="P46" s="146" t="s">
        <v>3255</v>
      </c>
      <c r="Q46" s="147"/>
      <c r="R46" s="147"/>
      <c r="S46" s="147"/>
      <c r="T46" s="147"/>
      <c r="U46" s="147"/>
      <c r="V46" s="147"/>
      <c r="W46" s="147"/>
      <c r="X46" s="147"/>
      <c r="Y46" s="147"/>
      <c r="Z46" s="147"/>
      <c r="AA46" s="147"/>
      <c r="AB46" s="147"/>
      <c r="AC46" s="147"/>
      <c r="AD46" s="148"/>
      <c r="AE46" s="142" t="str">
        <f t="shared" ref="AE46" ca="1" si="22">IFERROR(INDIRECT(P46&amp;"!D8"),"")</f>
        <v>sgioy_202310_backup_mt_yakko_atc5</v>
      </c>
      <c r="AF46" s="143"/>
      <c r="AG46" s="143"/>
      <c r="AH46" s="143"/>
      <c r="AI46" s="143"/>
      <c r="AJ46" s="143"/>
      <c r="AK46" s="143"/>
      <c r="AL46" s="144"/>
      <c r="AM46" s="142" t="str">
        <f t="shared" ref="AM46" ca="1" si="23">IFERROR(INDIRECT(P46&amp;"!D9"),"")</f>
        <v>薬効ATC分類5マスタテーブルから組入れ条件の第一条件で絞り込んだ結果を格納するテーブル</v>
      </c>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5"/>
      <c r="BK46" s="32" t="str">
        <f t="shared" si="21"/>
        <v>ENT_01_A3-28_バックアップ_薬効ATC分類5マスタ.sql</v>
      </c>
    </row>
    <row r="47" spans="1:63" ht="37.5" hidden="1" customHeight="1" outlineLevel="1">
      <c r="A47" s="34" t="str">
        <f t="shared" si="17"/>
        <v>バックアップ_疾病マスタ</v>
      </c>
      <c r="B47" s="153" t="str">
        <f t="shared" si="20"/>
        <v>01</v>
      </c>
      <c r="C47" s="154"/>
      <c r="D47" s="154"/>
      <c r="E47" s="154"/>
      <c r="F47" s="155"/>
      <c r="G47" s="156" t="s">
        <v>195</v>
      </c>
      <c r="H47" s="157"/>
      <c r="I47" s="157"/>
      <c r="J47" s="157"/>
      <c r="K47" s="157"/>
      <c r="L47" s="157"/>
      <c r="M47" s="157"/>
      <c r="N47" s="158"/>
      <c r="O47" s="77" t="s">
        <v>3236</v>
      </c>
      <c r="P47" s="146" t="s">
        <v>3256</v>
      </c>
      <c r="Q47" s="147"/>
      <c r="R47" s="147"/>
      <c r="S47" s="147"/>
      <c r="T47" s="147"/>
      <c r="U47" s="147"/>
      <c r="V47" s="147"/>
      <c r="W47" s="147"/>
      <c r="X47" s="147"/>
      <c r="Y47" s="147"/>
      <c r="Z47" s="147"/>
      <c r="AA47" s="147"/>
      <c r="AB47" s="147"/>
      <c r="AC47" s="147"/>
      <c r="AD47" s="148"/>
      <c r="AE47" s="142" t="str">
        <f t="shared" ref="AE47:AE51" ca="1" si="24">IFERROR(INDIRECT(P47&amp;"!D8"),"")</f>
        <v>sgioy_202310_backup_mt_shippei</v>
      </c>
      <c r="AF47" s="143"/>
      <c r="AG47" s="143"/>
      <c r="AH47" s="143"/>
      <c r="AI47" s="143"/>
      <c r="AJ47" s="143"/>
      <c r="AK47" s="143"/>
      <c r="AL47" s="144"/>
      <c r="AM47" s="142" t="str">
        <f t="shared" ref="AM47:AM51" ca="1" si="25">IFERROR(INDIRECT(P47&amp;"!D9"),"")</f>
        <v>疾病マスタテーブルから組入れ条件の第一条件で絞り込んだ結果を格納するテーブル</v>
      </c>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5"/>
      <c r="BK47" s="32" t="str">
        <f t="shared" si="21"/>
        <v>ENT_01_A3-29_バックアップ_疾病マスタ.sql</v>
      </c>
    </row>
    <row r="48" spans="1:63" ht="37.5" hidden="1" customHeight="1" outlineLevel="1">
      <c r="A48" s="34" t="str">
        <f t="shared" si="17"/>
        <v>バックアップ_ICD10大分類マスタ</v>
      </c>
      <c r="B48" s="153" t="str">
        <f t="shared" si="20"/>
        <v>01</v>
      </c>
      <c r="C48" s="154"/>
      <c r="D48" s="154"/>
      <c r="E48" s="154"/>
      <c r="F48" s="155"/>
      <c r="G48" s="156" t="s">
        <v>195</v>
      </c>
      <c r="H48" s="157"/>
      <c r="I48" s="157"/>
      <c r="J48" s="157"/>
      <c r="K48" s="157"/>
      <c r="L48" s="157"/>
      <c r="M48" s="157"/>
      <c r="N48" s="158"/>
      <c r="O48" s="77" t="s">
        <v>3240</v>
      </c>
      <c r="P48" s="146" t="s">
        <v>3257</v>
      </c>
      <c r="Q48" s="147"/>
      <c r="R48" s="147"/>
      <c r="S48" s="147"/>
      <c r="T48" s="147"/>
      <c r="U48" s="147"/>
      <c r="V48" s="147"/>
      <c r="W48" s="147"/>
      <c r="X48" s="147"/>
      <c r="Y48" s="147"/>
      <c r="Z48" s="147"/>
      <c r="AA48" s="147"/>
      <c r="AB48" s="147"/>
      <c r="AC48" s="147"/>
      <c r="AD48" s="148"/>
      <c r="AE48" s="142" t="str">
        <f t="shared" ca="1" si="24"/>
        <v>sgioy_202310_backup_mt_icd10_l</v>
      </c>
      <c r="AF48" s="143"/>
      <c r="AG48" s="143"/>
      <c r="AH48" s="143"/>
      <c r="AI48" s="143"/>
      <c r="AJ48" s="143"/>
      <c r="AK48" s="143"/>
      <c r="AL48" s="144"/>
      <c r="AM48" s="142" t="str">
        <f t="shared" ca="1" si="25"/>
        <v>ICD10大分類マスタテーブルから組入れ条件の第一条件で絞り込んだ結果を格納するテーブル</v>
      </c>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5"/>
      <c r="BK48" s="32" t="str">
        <f t="shared" si="21"/>
        <v>ENT_01_A3-30_バックアップ_ICD10大分類マスタ.sql</v>
      </c>
    </row>
    <row r="49" spans="1:63" ht="37.5" hidden="1" customHeight="1" outlineLevel="1">
      <c r="A49" s="34" t="str">
        <f t="shared" si="17"/>
        <v>バックアップ_ICD10中分類マスタ</v>
      </c>
      <c r="B49" s="153" t="str">
        <f t="shared" si="20"/>
        <v>01</v>
      </c>
      <c r="C49" s="154"/>
      <c r="D49" s="154"/>
      <c r="E49" s="154"/>
      <c r="F49" s="155"/>
      <c r="G49" s="156" t="s">
        <v>195</v>
      </c>
      <c r="H49" s="157"/>
      <c r="I49" s="157"/>
      <c r="J49" s="157"/>
      <c r="K49" s="157"/>
      <c r="L49" s="157"/>
      <c r="M49" s="157"/>
      <c r="N49" s="158"/>
      <c r="O49" s="77" t="s">
        <v>3237</v>
      </c>
      <c r="P49" s="146" t="s">
        <v>3258</v>
      </c>
      <c r="Q49" s="147"/>
      <c r="R49" s="147"/>
      <c r="S49" s="147"/>
      <c r="T49" s="147"/>
      <c r="U49" s="147"/>
      <c r="V49" s="147"/>
      <c r="W49" s="147"/>
      <c r="X49" s="147"/>
      <c r="Y49" s="147"/>
      <c r="Z49" s="147"/>
      <c r="AA49" s="147"/>
      <c r="AB49" s="147"/>
      <c r="AC49" s="147"/>
      <c r="AD49" s="148"/>
      <c r="AE49" s="142" t="str">
        <f t="shared" ca="1" si="24"/>
        <v>sgioy_202310_backup_mt_icd10_m</v>
      </c>
      <c r="AF49" s="143"/>
      <c r="AG49" s="143"/>
      <c r="AH49" s="143"/>
      <c r="AI49" s="143"/>
      <c r="AJ49" s="143"/>
      <c r="AK49" s="143"/>
      <c r="AL49" s="144"/>
      <c r="AM49" s="142" t="str">
        <f t="shared" ca="1" si="25"/>
        <v>ICD10中分類マスタテーブルから組入れ条件の第一条件で絞り込んだ結果を格納するテーブル</v>
      </c>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5"/>
      <c r="BK49" s="32" t="str">
        <f t="shared" si="21"/>
        <v>ENT_01_A3-31_バックアップ_ICD10中分類マスタ.sql</v>
      </c>
    </row>
    <row r="50" spans="1:63" ht="37.5" hidden="1" customHeight="1" outlineLevel="1">
      <c r="A50" s="34" t="str">
        <f t="shared" si="17"/>
        <v>バックアップ_ICD10小分類マスタ</v>
      </c>
      <c r="B50" s="153" t="str">
        <f t="shared" si="20"/>
        <v>01</v>
      </c>
      <c r="C50" s="154"/>
      <c r="D50" s="154"/>
      <c r="E50" s="154"/>
      <c r="F50" s="155"/>
      <c r="G50" s="156" t="s">
        <v>195</v>
      </c>
      <c r="H50" s="157"/>
      <c r="I50" s="157"/>
      <c r="J50" s="157"/>
      <c r="K50" s="157"/>
      <c r="L50" s="157"/>
      <c r="M50" s="157"/>
      <c r="N50" s="158"/>
      <c r="O50" s="77" t="s">
        <v>3238</v>
      </c>
      <c r="P50" s="146" t="s">
        <v>3259</v>
      </c>
      <c r="Q50" s="147"/>
      <c r="R50" s="147"/>
      <c r="S50" s="147"/>
      <c r="T50" s="147"/>
      <c r="U50" s="147"/>
      <c r="V50" s="147"/>
      <c r="W50" s="147"/>
      <c r="X50" s="147"/>
      <c r="Y50" s="147"/>
      <c r="Z50" s="147"/>
      <c r="AA50" s="147"/>
      <c r="AB50" s="147"/>
      <c r="AC50" s="147"/>
      <c r="AD50" s="148"/>
      <c r="AE50" s="142" t="str">
        <f t="shared" ca="1" si="24"/>
        <v>sgioy_202310_backup_mt_icd10_s</v>
      </c>
      <c r="AF50" s="143"/>
      <c r="AG50" s="143"/>
      <c r="AH50" s="143"/>
      <c r="AI50" s="143"/>
      <c r="AJ50" s="143"/>
      <c r="AK50" s="143"/>
      <c r="AL50" s="144"/>
      <c r="AM50" s="142" t="str">
        <f t="shared" ca="1" si="25"/>
        <v>ICD10小分類マスタテーブルから組入れ条件の第一条件で絞り込んだ結果を格納するテーブル</v>
      </c>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5"/>
      <c r="BK50" s="32" t="str">
        <f t="shared" si="21"/>
        <v>ENT_01_A3-32_バックアップ_ICD10小分類マスタ.sql</v>
      </c>
    </row>
    <row r="51" spans="1:63" ht="37.5" hidden="1" customHeight="1" outlineLevel="1">
      <c r="A51" s="34" t="str">
        <f t="shared" si="17"/>
        <v>バックアップ_ICD10細分類マスタ</v>
      </c>
      <c r="B51" s="153" t="str">
        <f t="shared" si="20"/>
        <v>01</v>
      </c>
      <c r="C51" s="154"/>
      <c r="D51" s="154"/>
      <c r="E51" s="154"/>
      <c r="F51" s="155"/>
      <c r="G51" s="156" t="s">
        <v>195</v>
      </c>
      <c r="H51" s="157"/>
      <c r="I51" s="157"/>
      <c r="J51" s="157"/>
      <c r="K51" s="157"/>
      <c r="L51" s="157"/>
      <c r="M51" s="157"/>
      <c r="N51" s="158"/>
      <c r="O51" s="77" t="s">
        <v>3239</v>
      </c>
      <c r="P51" s="146" t="s">
        <v>3260</v>
      </c>
      <c r="Q51" s="147"/>
      <c r="R51" s="147"/>
      <c r="S51" s="147"/>
      <c r="T51" s="147"/>
      <c r="U51" s="147"/>
      <c r="V51" s="147"/>
      <c r="W51" s="147"/>
      <c r="X51" s="147"/>
      <c r="Y51" s="147"/>
      <c r="Z51" s="147"/>
      <c r="AA51" s="147"/>
      <c r="AB51" s="147"/>
      <c r="AC51" s="147"/>
      <c r="AD51" s="148"/>
      <c r="AE51" s="142" t="str">
        <f t="shared" ca="1" si="24"/>
        <v>sgioy_202310_backup_mt_icd10_ss</v>
      </c>
      <c r="AF51" s="143"/>
      <c r="AG51" s="143"/>
      <c r="AH51" s="143"/>
      <c r="AI51" s="143"/>
      <c r="AJ51" s="143"/>
      <c r="AK51" s="143"/>
      <c r="AL51" s="144"/>
      <c r="AM51" s="142" t="str">
        <f t="shared" ca="1" si="25"/>
        <v>ICD10細分類マスタテーブルから組入れ条件の第一条件で絞り込んだ結果を格納するテーブル</v>
      </c>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5"/>
      <c r="BK51" s="32" t="str">
        <f t="shared" si="21"/>
        <v>ENT_01_A3-33_バックアップ_ICD10細分類マスタ.sql</v>
      </c>
    </row>
    <row r="52" spans="1:63" ht="37.5" hidden="1" customHeight="1" outlineLevel="1">
      <c r="A52" s="34" t="str">
        <f t="shared" ref="A52:A55" si="26">P52</f>
        <v>バックアップ_DPC2桁マスタ</v>
      </c>
      <c r="B52" s="153" t="str">
        <f t="shared" si="20"/>
        <v>01</v>
      </c>
      <c r="C52" s="154"/>
      <c r="D52" s="154"/>
      <c r="E52" s="154"/>
      <c r="F52" s="155"/>
      <c r="G52" s="156" t="s">
        <v>195</v>
      </c>
      <c r="H52" s="157"/>
      <c r="I52" s="157"/>
      <c r="J52" s="157"/>
      <c r="K52" s="157"/>
      <c r="L52" s="157"/>
      <c r="M52" s="157"/>
      <c r="N52" s="158"/>
      <c r="O52" s="77" t="s">
        <v>3241</v>
      </c>
      <c r="P52" s="146" t="s">
        <v>3261</v>
      </c>
      <c r="Q52" s="147"/>
      <c r="R52" s="147"/>
      <c r="S52" s="147"/>
      <c r="T52" s="147"/>
      <c r="U52" s="147"/>
      <c r="V52" s="147"/>
      <c r="W52" s="147"/>
      <c r="X52" s="147"/>
      <c r="Y52" s="147"/>
      <c r="Z52" s="147"/>
      <c r="AA52" s="147"/>
      <c r="AB52" s="147"/>
      <c r="AC52" s="147"/>
      <c r="AD52" s="148"/>
      <c r="AE52" s="142" t="str">
        <f t="shared" ref="AE52:AE55" ca="1" si="27">IFERROR(INDIRECT(P52&amp;"!D8"),"")</f>
        <v>sgioy_202310_backup_mt_dpc2</v>
      </c>
      <c r="AF52" s="143"/>
      <c r="AG52" s="143"/>
      <c r="AH52" s="143"/>
      <c r="AI52" s="143"/>
      <c r="AJ52" s="143"/>
      <c r="AK52" s="143"/>
      <c r="AL52" s="144"/>
      <c r="AM52" s="142" t="str">
        <f t="shared" ref="AM52:AM55" ca="1" si="28">IFERROR(INDIRECT(P52&amp;"!D9"),"")</f>
        <v>DPC2桁マスタテーブルから組入れ条件の第一条件で絞り込んだ結果を格納するテーブル</v>
      </c>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5"/>
      <c r="BK52" s="32" t="str">
        <f t="shared" ref="BK52:BK55" si="29">IF(P52&lt;&gt;"",O52&amp;"_"&amp;P52&amp;".sql","")</f>
        <v>ENT_01_A3-34_バックアップ_DPC2桁マスタ.sql</v>
      </c>
    </row>
    <row r="53" spans="1:63" ht="37.5" hidden="1" customHeight="1" outlineLevel="1">
      <c r="A53" s="34" t="str">
        <f t="shared" si="26"/>
        <v>バックアップ_DPC6桁マスタ</v>
      </c>
      <c r="B53" s="153" t="str">
        <f t="shared" si="20"/>
        <v>01</v>
      </c>
      <c r="C53" s="154"/>
      <c r="D53" s="154"/>
      <c r="E53" s="154"/>
      <c r="F53" s="155"/>
      <c r="G53" s="156" t="s">
        <v>195</v>
      </c>
      <c r="H53" s="157"/>
      <c r="I53" s="157"/>
      <c r="J53" s="157"/>
      <c r="K53" s="157"/>
      <c r="L53" s="157"/>
      <c r="M53" s="157"/>
      <c r="N53" s="158"/>
      <c r="O53" s="77" t="s">
        <v>3242</v>
      </c>
      <c r="P53" s="146" t="s">
        <v>3262</v>
      </c>
      <c r="Q53" s="147"/>
      <c r="R53" s="147"/>
      <c r="S53" s="147"/>
      <c r="T53" s="147"/>
      <c r="U53" s="147"/>
      <c r="V53" s="147"/>
      <c r="W53" s="147"/>
      <c r="X53" s="147"/>
      <c r="Y53" s="147"/>
      <c r="Z53" s="147"/>
      <c r="AA53" s="147"/>
      <c r="AB53" s="147"/>
      <c r="AC53" s="147"/>
      <c r="AD53" s="148"/>
      <c r="AE53" s="142" t="str">
        <f t="shared" ca="1" si="27"/>
        <v>sgioy_202310_backup_mt_dpc6</v>
      </c>
      <c r="AF53" s="143"/>
      <c r="AG53" s="143"/>
      <c r="AH53" s="143"/>
      <c r="AI53" s="143"/>
      <c r="AJ53" s="143"/>
      <c r="AK53" s="143"/>
      <c r="AL53" s="144"/>
      <c r="AM53" s="142" t="str">
        <f t="shared" ca="1" si="28"/>
        <v>DPC6桁マスタテーブルから組入れ条件の第一条件で絞り込んだ結果を格納するテーブル</v>
      </c>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5"/>
      <c r="BK53" s="32" t="str">
        <f t="shared" si="29"/>
        <v>ENT_01_A3-35_バックアップ_DPC6桁マスタ.sql</v>
      </c>
    </row>
    <row r="54" spans="1:63" ht="37.5" hidden="1" customHeight="1" outlineLevel="1">
      <c r="A54" s="34" t="str">
        <f t="shared" si="26"/>
        <v>バックアップ_郵便番号マスタ</v>
      </c>
      <c r="B54" s="153" t="str">
        <f t="shared" si="20"/>
        <v>01</v>
      </c>
      <c r="C54" s="154"/>
      <c r="D54" s="154"/>
      <c r="E54" s="154"/>
      <c r="F54" s="155"/>
      <c r="G54" s="156" t="s">
        <v>195</v>
      </c>
      <c r="H54" s="157"/>
      <c r="I54" s="157"/>
      <c r="J54" s="157"/>
      <c r="K54" s="157"/>
      <c r="L54" s="157"/>
      <c r="M54" s="157"/>
      <c r="N54" s="158"/>
      <c r="O54" s="77" t="s">
        <v>3243</v>
      </c>
      <c r="P54" s="146" t="s">
        <v>3263</v>
      </c>
      <c r="Q54" s="147"/>
      <c r="R54" s="147"/>
      <c r="S54" s="147"/>
      <c r="T54" s="147"/>
      <c r="U54" s="147"/>
      <c r="V54" s="147"/>
      <c r="W54" s="147"/>
      <c r="X54" s="147"/>
      <c r="Y54" s="147"/>
      <c r="Z54" s="147"/>
      <c r="AA54" s="147"/>
      <c r="AB54" s="147"/>
      <c r="AC54" s="147"/>
      <c r="AD54" s="148"/>
      <c r="AE54" s="142" t="str">
        <f t="shared" ca="1" si="27"/>
        <v>sgioy_202310_backup_mt_postal</v>
      </c>
      <c r="AF54" s="143"/>
      <c r="AG54" s="143"/>
      <c r="AH54" s="143"/>
      <c r="AI54" s="143"/>
      <c r="AJ54" s="143"/>
      <c r="AK54" s="143"/>
      <c r="AL54" s="144"/>
      <c r="AM54" s="142" t="str">
        <f t="shared" ca="1" si="28"/>
        <v>郵便番号マスタテーブルから組入れ条件の第一条件で絞り込んだ結果を格納するテーブル</v>
      </c>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5"/>
      <c r="BK54" s="32" t="str">
        <f t="shared" si="29"/>
        <v>ENT_01_A3-36_バックアップ_郵便番号マスタ.sql</v>
      </c>
    </row>
    <row r="55" spans="1:63" ht="37.5" hidden="1" customHeight="1" outlineLevel="1">
      <c r="A55" s="34" t="str">
        <f t="shared" si="26"/>
        <v>バックアップ_特定機材マスタ</v>
      </c>
      <c r="B55" s="153" t="str">
        <f t="shared" si="20"/>
        <v>01</v>
      </c>
      <c r="C55" s="154"/>
      <c r="D55" s="154"/>
      <c r="E55" s="154"/>
      <c r="F55" s="155"/>
      <c r="G55" s="156" t="s">
        <v>195</v>
      </c>
      <c r="H55" s="157"/>
      <c r="I55" s="157"/>
      <c r="J55" s="157"/>
      <c r="K55" s="157"/>
      <c r="L55" s="157"/>
      <c r="M55" s="157"/>
      <c r="N55" s="158"/>
      <c r="O55" s="77" t="s">
        <v>3244</v>
      </c>
      <c r="P55" s="146" t="s">
        <v>3264</v>
      </c>
      <c r="Q55" s="147"/>
      <c r="R55" s="147"/>
      <c r="S55" s="147"/>
      <c r="T55" s="147"/>
      <c r="U55" s="147"/>
      <c r="V55" s="147"/>
      <c r="W55" s="147"/>
      <c r="X55" s="147"/>
      <c r="Y55" s="147"/>
      <c r="Z55" s="147"/>
      <c r="AA55" s="147"/>
      <c r="AB55" s="147"/>
      <c r="AC55" s="147"/>
      <c r="AD55" s="148"/>
      <c r="AE55" s="142" t="str">
        <f t="shared" ca="1" si="27"/>
        <v>sgioy_202310_backup_mt_tokutei_kizai</v>
      </c>
      <c r="AF55" s="143"/>
      <c r="AG55" s="143"/>
      <c r="AH55" s="143"/>
      <c r="AI55" s="143"/>
      <c r="AJ55" s="143"/>
      <c r="AK55" s="143"/>
      <c r="AL55" s="144"/>
      <c r="AM55" s="142" t="str">
        <f t="shared" ca="1" si="28"/>
        <v>特定機材マスタテーブルから組入れ条件の第一条件で絞り込んだ結果を格納するテーブル</v>
      </c>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5"/>
      <c r="BK55" s="32" t="str">
        <f t="shared" si="29"/>
        <v>ENT_01_A3-37_バックアップ_特定機材マスタ.sql</v>
      </c>
    </row>
    <row r="56" spans="1:63" ht="37.5" hidden="1" customHeight="1" outlineLevel="1">
      <c r="A56" s="34" t="str">
        <f t="shared" ref="A56:A68" si="30">P56</f>
        <v>バックアップ_年度マスタ</v>
      </c>
      <c r="B56" s="153" t="str">
        <f t="shared" si="20"/>
        <v>01</v>
      </c>
      <c r="C56" s="154"/>
      <c r="D56" s="154"/>
      <c r="E56" s="154"/>
      <c r="F56" s="155"/>
      <c r="G56" s="156" t="s">
        <v>195</v>
      </c>
      <c r="H56" s="157"/>
      <c r="I56" s="157"/>
      <c r="J56" s="157"/>
      <c r="K56" s="157"/>
      <c r="L56" s="157"/>
      <c r="M56" s="157"/>
      <c r="N56" s="158"/>
      <c r="O56" s="77" t="s">
        <v>3163</v>
      </c>
      <c r="P56" s="146" t="s">
        <v>2434</v>
      </c>
      <c r="Q56" s="147"/>
      <c r="R56" s="147"/>
      <c r="S56" s="147"/>
      <c r="T56" s="147"/>
      <c r="U56" s="147"/>
      <c r="V56" s="147"/>
      <c r="W56" s="147"/>
      <c r="X56" s="147"/>
      <c r="Y56" s="147"/>
      <c r="Z56" s="147"/>
      <c r="AA56" s="147"/>
      <c r="AB56" s="147"/>
      <c r="AC56" s="147"/>
      <c r="AD56" s="148"/>
      <c r="AE56" s="142" t="str">
        <f t="shared" ref="AE56:AE68" ca="1" si="31">IFERROR(INDIRECT(P56&amp;"!D8"),"")</f>
        <v>sgioy_202310_backup_mt2_nendo</v>
      </c>
      <c r="AF56" s="143"/>
      <c r="AG56" s="143"/>
      <c r="AH56" s="143"/>
      <c r="AI56" s="143"/>
      <c r="AJ56" s="143"/>
      <c r="AK56" s="143"/>
      <c r="AL56" s="144"/>
      <c r="AM56" s="142" t="str">
        <f t="shared" ref="AM56:AM68" ca="1" si="32">IFERROR(INDIRECT(P56&amp;"!D9"),"")</f>
        <v>年度マスタテーブルから組入れ条件の第一条件で絞り込んだ結果を格納するテーブル</v>
      </c>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5"/>
      <c r="BK56" s="32" t="str">
        <f t="shared" si="16"/>
        <v>ENT_01_A4-01_バックアップ_年度マスタ.sql</v>
      </c>
    </row>
    <row r="57" spans="1:63" ht="37.5" hidden="1" customHeight="1" outlineLevel="1">
      <c r="A57" s="34" t="str">
        <f t="shared" si="30"/>
        <v>バックアップ_都道府県地方コードマスタ</v>
      </c>
      <c r="B57" s="153" t="str">
        <f t="shared" si="20"/>
        <v>01</v>
      </c>
      <c r="C57" s="154"/>
      <c r="D57" s="154"/>
      <c r="E57" s="154"/>
      <c r="F57" s="155"/>
      <c r="G57" s="156" t="s">
        <v>195</v>
      </c>
      <c r="H57" s="157"/>
      <c r="I57" s="157"/>
      <c r="J57" s="157"/>
      <c r="K57" s="157"/>
      <c r="L57" s="157"/>
      <c r="M57" s="157"/>
      <c r="N57" s="158"/>
      <c r="O57" s="77" t="s">
        <v>3164</v>
      </c>
      <c r="P57" s="146" t="s">
        <v>2458</v>
      </c>
      <c r="Q57" s="147"/>
      <c r="R57" s="147"/>
      <c r="S57" s="147"/>
      <c r="T57" s="147"/>
      <c r="U57" s="147"/>
      <c r="V57" s="147"/>
      <c r="W57" s="147"/>
      <c r="X57" s="147"/>
      <c r="Y57" s="147"/>
      <c r="Z57" s="147"/>
      <c r="AA57" s="147"/>
      <c r="AB57" s="147"/>
      <c r="AC57" s="147"/>
      <c r="AD57" s="148"/>
      <c r="AE57" s="142" t="str">
        <f t="shared" ca="1" si="31"/>
        <v>sgioy_202310_backup_mt2_prefecture_region</v>
      </c>
      <c r="AF57" s="143"/>
      <c r="AG57" s="143"/>
      <c r="AH57" s="143"/>
      <c r="AI57" s="143"/>
      <c r="AJ57" s="143"/>
      <c r="AK57" s="143"/>
      <c r="AL57" s="144"/>
      <c r="AM57" s="142" t="str">
        <f t="shared" ca="1" si="32"/>
        <v>都道府県地方コードマスタテーブルから組入れ条件の第一条件で絞り込んだ結果を格納するテーブル</v>
      </c>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5"/>
      <c r="BK57" s="32" t="str">
        <f t="shared" si="16"/>
        <v>ENT_01_A4-02_バックアップ_都道府県地方コードマスタ.sql</v>
      </c>
    </row>
    <row r="58" spans="1:63" ht="37.5" hidden="1" customHeight="1" outlineLevel="1">
      <c r="A58" s="34" t="str">
        <f t="shared" si="30"/>
        <v>バックアップ_施設属性マスタ</v>
      </c>
      <c r="B58" s="153" t="str">
        <f t="shared" si="20"/>
        <v>01</v>
      </c>
      <c r="C58" s="154"/>
      <c r="D58" s="154"/>
      <c r="E58" s="154"/>
      <c r="F58" s="155"/>
      <c r="G58" s="156" t="s">
        <v>195</v>
      </c>
      <c r="H58" s="157"/>
      <c r="I58" s="157"/>
      <c r="J58" s="157"/>
      <c r="K58" s="157"/>
      <c r="L58" s="157"/>
      <c r="M58" s="157"/>
      <c r="N58" s="158"/>
      <c r="O58" s="77" t="s">
        <v>3165</v>
      </c>
      <c r="P58" s="146" t="s">
        <v>2494</v>
      </c>
      <c r="Q58" s="147"/>
      <c r="R58" s="147"/>
      <c r="S58" s="147"/>
      <c r="T58" s="147"/>
      <c r="U58" s="147"/>
      <c r="V58" s="147"/>
      <c r="W58" s="147"/>
      <c r="X58" s="147"/>
      <c r="Y58" s="147"/>
      <c r="Z58" s="147"/>
      <c r="AA58" s="147"/>
      <c r="AB58" s="147"/>
      <c r="AC58" s="147"/>
      <c r="AD58" s="148"/>
      <c r="AE58" s="142" t="str">
        <f t="shared" ca="1" si="31"/>
        <v>sgioy_202310_backup_mt2_shisetsu_zokusei</v>
      </c>
      <c r="AF58" s="143"/>
      <c r="AG58" s="143"/>
      <c r="AH58" s="143"/>
      <c r="AI58" s="143"/>
      <c r="AJ58" s="143"/>
      <c r="AK58" s="143"/>
      <c r="AL58" s="144"/>
      <c r="AM58" s="142" t="str">
        <f t="shared" ca="1" si="32"/>
        <v>施設属性マスタテーブルから組入れ条件の第一条件で絞り込んだ結果を格納するテーブル</v>
      </c>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5"/>
      <c r="BK58" s="32" t="str">
        <f t="shared" si="16"/>
        <v>ENT_01_A4-03_バックアップ_施設属性マスタ.sql</v>
      </c>
    </row>
    <row r="59" spans="1:63" ht="37.5" hidden="1" customHeight="1" outlineLevel="1">
      <c r="A59" s="34" t="str">
        <f t="shared" si="30"/>
        <v>バックアップ_二次医療圏マスタ</v>
      </c>
      <c r="B59" s="153" t="str">
        <f t="shared" si="20"/>
        <v>01</v>
      </c>
      <c r="C59" s="154"/>
      <c r="D59" s="154"/>
      <c r="E59" s="154"/>
      <c r="F59" s="155"/>
      <c r="G59" s="156" t="s">
        <v>195</v>
      </c>
      <c r="H59" s="157"/>
      <c r="I59" s="157"/>
      <c r="J59" s="157"/>
      <c r="K59" s="157"/>
      <c r="L59" s="157"/>
      <c r="M59" s="157"/>
      <c r="N59" s="158"/>
      <c r="O59" s="77" t="s">
        <v>3166</v>
      </c>
      <c r="P59" s="146" t="s">
        <v>2537</v>
      </c>
      <c r="Q59" s="147"/>
      <c r="R59" s="147"/>
      <c r="S59" s="147"/>
      <c r="T59" s="147"/>
      <c r="U59" s="147"/>
      <c r="V59" s="147"/>
      <c r="W59" s="147"/>
      <c r="X59" s="147"/>
      <c r="Y59" s="147"/>
      <c r="Z59" s="147"/>
      <c r="AA59" s="147"/>
      <c r="AB59" s="147"/>
      <c r="AC59" s="147"/>
      <c r="AD59" s="148"/>
      <c r="AE59" s="142" t="str">
        <f t="shared" ca="1" si="31"/>
        <v>sgioy_202310_backup_mt2_iryouken2</v>
      </c>
      <c r="AF59" s="143"/>
      <c r="AG59" s="143"/>
      <c r="AH59" s="143"/>
      <c r="AI59" s="143"/>
      <c r="AJ59" s="143"/>
      <c r="AK59" s="143"/>
      <c r="AL59" s="144"/>
      <c r="AM59" s="142" t="str">
        <f t="shared" ca="1" si="32"/>
        <v>二次医療圏マスタテーブルから組入れ条件の第一条件で絞り込んだ結果を格納するテーブル</v>
      </c>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5"/>
      <c r="BK59" s="32" t="str">
        <f t="shared" si="16"/>
        <v>ENT_01_A4-04_バックアップ_二次医療圏マスタ.sql</v>
      </c>
    </row>
    <row r="60" spans="1:63" ht="37.5" hidden="1" customHeight="1" outlineLevel="1">
      <c r="A60" s="34" t="str">
        <f t="shared" si="30"/>
        <v>バックアップ_施設ID対応マスタ</v>
      </c>
      <c r="B60" s="153" t="str">
        <f t="shared" si="20"/>
        <v>01</v>
      </c>
      <c r="C60" s="154"/>
      <c r="D60" s="154"/>
      <c r="E60" s="154"/>
      <c r="F60" s="155"/>
      <c r="G60" s="156" t="s">
        <v>195</v>
      </c>
      <c r="H60" s="157"/>
      <c r="I60" s="157"/>
      <c r="J60" s="157"/>
      <c r="K60" s="157"/>
      <c r="L60" s="157"/>
      <c r="M60" s="157"/>
      <c r="N60" s="158"/>
      <c r="O60" s="77" t="s">
        <v>3167</v>
      </c>
      <c r="P60" s="146" t="s">
        <v>2542</v>
      </c>
      <c r="Q60" s="147"/>
      <c r="R60" s="147"/>
      <c r="S60" s="147"/>
      <c r="T60" s="147"/>
      <c r="U60" s="147"/>
      <c r="V60" s="147"/>
      <c r="W60" s="147"/>
      <c r="X60" s="147"/>
      <c r="Y60" s="147"/>
      <c r="Z60" s="147"/>
      <c r="AA60" s="147"/>
      <c r="AB60" s="147"/>
      <c r="AC60" s="147"/>
      <c r="AD60" s="148"/>
      <c r="AE60" s="142" t="str">
        <f t="shared" ca="1" si="31"/>
        <v>sgioy_202310_backup_mt2_old_new_shisetsu</v>
      </c>
      <c r="AF60" s="143"/>
      <c r="AG60" s="143"/>
      <c r="AH60" s="143"/>
      <c r="AI60" s="143"/>
      <c r="AJ60" s="143"/>
      <c r="AK60" s="143"/>
      <c r="AL60" s="144"/>
      <c r="AM60" s="142" t="str">
        <f t="shared" ca="1" si="32"/>
        <v>施設ID対応マスタテーブルから組入れ条件の第一条件で絞り込んだ結果を格納するテーブル</v>
      </c>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5"/>
      <c r="BK60" s="32" t="str">
        <f t="shared" si="16"/>
        <v>ENT_01_A4-05_バックアップ_施設ID対応マスタ.sql</v>
      </c>
    </row>
    <row r="61" spans="1:63" ht="37.5" hidden="1" customHeight="1" outlineLevel="1">
      <c r="A61" s="34" t="str">
        <f t="shared" si="30"/>
        <v>バックアップ_医薬品関連マスタ</v>
      </c>
      <c r="B61" s="153" t="str">
        <f t="shared" si="20"/>
        <v>01</v>
      </c>
      <c r="C61" s="154"/>
      <c r="D61" s="154"/>
      <c r="E61" s="154"/>
      <c r="F61" s="155"/>
      <c r="G61" s="156" t="s">
        <v>195</v>
      </c>
      <c r="H61" s="157"/>
      <c r="I61" s="157"/>
      <c r="J61" s="157"/>
      <c r="K61" s="157"/>
      <c r="L61" s="157"/>
      <c r="M61" s="157"/>
      <c r="N61" s="158"/>
      <c r="O61" s="77" t="s">
        <v>3168</v>
      </c>
      <c r="P61" s="146" t="s">
        <v>2550</v>
      </c>
      <c r="Q61" s="147"/>
      <c r="R61" s="147"/>
      <c r="S61" s="147"/>
      <c r="T61" s="147"/>
      <c r="U61" s="147"/>
      <c r="V61" s="147"/>
      <c r="W61" s="147"/>
      <c r="X61" s="147"/>
      <c r="Y61" s="147"/>
      <c r="Z61" s="147"/>
      <c r="AA61" s="147"/>
      <c r="AB61" s="147"/>
      <c r="AC61" s="147"/>
      <c r="AD61" s="148"/>
      <c r="AE61" s="142" t="str">
        <f t="shared" ca="1" si="31"/>
        <v>sgioy_202310_backup_mt2_iyakuhin_kanren</v>
      </c>
      <c r="AF61" s="143"/>
      <c r="AG61" s="143"/>
      <c r="AH61" s="143"/>
      <c r="AI61" s="143"/>
      <c r="AJ61" s="143"/>
      <c r="AK61" s="143"/>
      <c r="AL61" s="144"/>
      <c r="AM61" s="142" t="str">
        <f t="shared" ca="1" si="32"/>
        <v>医薬品関連マスタテーブルから組入れ条件の第一条件で絞り込んだ結果を格納するテーブル</v>
      </c>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5"/>
      <c r="BK61" s="32" t="str">
        <f t="shared" si="16"/>
        <v>ENT_01_A4-07_バックアップ_医薬品関連マスタ.sql</v>
      </c>
    </row>
    <row r="62" spans="1:63" ht="37.5" hidden="1" customHeight="1" outlineLevel="1">
      <c r="A62" s="34" t="str">
        <f t="shared" si="30"/>
        <v>バックアップ_薬価関連マスタ</v>
      </c>
      <c r="B62" s="153" t="str">
        <f t="shared" si="20"/>
        <v>01</v>
      </c>
      <c r="C62" s="154"/>
      <c r="D62" s="154"/>
      <c r="E62" s="154"/>
      <c r="F62" s="155"/>
      <c r="G62" s="156" t="s">
        <v>195</v>
      </c>
      <c r="H62" s="157"/>
      <c r="I62" s="157"/>
      <c r="J62" s="157"/>
      <c r="K62" s="157"/>
      <c r="L62" s="157"/>
      <c r="M62" s="157"/>
      <c r="N62" s="158"/>
      <c r="O62" s="77" t="s">
        <v>3169</v>
      </c>
      <c r="P62" s="146" t="s">
        <v>2606</v>
      </c>
      <c r="Q62" s="147"/>
      <c r="R62" s="147"/>
      <c r="S62" s="147"/>
      <c r="T62" s="147"/>
      <c r="U62" s="147"/>
      <c r="V62" s="147"/>
      <c r="W62" s="147"/>
      <c r="X62" s="147"/>
      <c r="Y62" s="147"/>
      <c r="Z62" s="147"/>
      <c r="AA62" s="147"/>
      <c r="AB62" s="147"/>
      <c r="AC62" s="147"/>
      <c r="AD62" s="148"/>
      <c r="AE62" s="142" t="str">
        <f t="shared" ca="1" si="31"/>
        <v>sgioy_202310_backup_mt2_price_kanren</v>
      </c>
      <c r="AF62" s="143"/>
      <c r="AG62" s="143"/>
      <c r="AH62" s="143"/>
      <c r="AI62" s="143"/>
      <c r="AJ62" s="143"/>
      <c r="AK62" s="143"/>
      <c r="AL62" s="144"/>
      <c r="AM62" s="142" t="str">
        <f t="shared" ca="1" si="32"/>
        <v>薬価関連マスタテーブルから組入れ条件の第一条件で絞り込んだ結果を格納するテーブル</v>
      </c>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5"/>
      <c r="BK62" s="32" t="str">
        <f t="shared" si="16"/>
        <v>ENT_01_A4-08_バックアップ_薬価関連マスタ.sql</v>
      </c>
    </row>
    <row r="63" spans="1:63" ht="37.5" hidden="1" customHeight="1" outlineLevel="1">
      <c r="A63" s="34" t="str">
        <f t="shared" si="30"/>
        <v>バックアップ_診療行為関連マスタ</v>
      </c>
      <c r="B63" s="153" t="str">
        <f t="shared" si="20"/>
        <v>01</v>
      </c>
      <c r="C63" s="154"/>
      <c r="D63" s="154"/>
      <c r="E63" s="154"/>
      <c r="F63" s="155"/>
      <c r="G63" s="156" t="s">
        <v>195</v>
      </c>
      <c r="H63" s="157"/>
      <c r="I63" s="157"/>
      <c r="J63" s="157"/>
      <c r="K63" s="157"/>
      <c r="L63" s="157"/>
      <c r="M63" s="157"/>
      <c r="N63" s="158"/>
      <c r="O63" s="77" t="s">
        <v>3170</v>
      </c>
      <c r="P63" s="146" t="s">
        <v>2613</v>
      </c>
      <c r="Q63" s="147"/>
      <c r="R63" s="147"/>
      <c r="S63" s="147"/>
      <c r="T63" s="147"/>
      <c r="U63" s="147"/>
      <c r="V63" s="147"/>
      <c r="W63" s="147"/>
      <c r="X63" s="147"/>
      <c r="Y63" s="147"/>
      <c r="Z63" s="147"/>
      <c r="AA63" s="147"/>
      <c r="AB63" s="147"/>
      <c r="AC63" s="147"/>
      <c r="AD63" s="148"/>
      <c r="AE63" s="142" t="str">
        <f t="shared" ca="1" si="31"/>
        <v>sgioy_202310_backup_mt2_shinryo_koi_kanren</v>
      </c>
      <c r="AF63" s="143"/>
      <c r="AG63" s="143"/>
      <c r="AH63" s="143"/>
      <c r="AI63" s="143"/>
      <c r="AJ63" s="143"/>
      <c r="AK63" s="143"/>
      <c r="AL63" s="144"/>
      <c r="AM63" s="142" t="str">
        <f t="shared" ca="1" si="32"/>
        <v>診療行為関連マスタテーブルから組入れ条件の第一条件で絞り込んだ結果を格納するテーブル</v>
      </c>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5"/>
      <c r="BK63" s="32" t="str">
        <f t="shared" si="16"/>
        <v>ENT_01_A4-09_バックアップ_診療行為関連マスタ.sql</v>
      </c>
    </row>
    <row r="64" spans="1:63" ht="37.5" hidden="1" customHeight="1" outlineLevel="1">
      <c r="A64" s="34" t="str">
        <f t="shared" si="30"/>
        <v>バックアップ_特定器材関連マスタ</v>
      </c>
      <c r="B64" s="153" t="str">
        <f t="shared" si="20"/>
        <v>01</v>
      </c>
      <c r="C64" s="154"/>
      <c r="D64" s="154"/>
      <c r="E64" s="154"/>
      <c r="F64" s="155"/>
      <c r="G64" s="156" t="s">
        <v>195</v>
      </c>
      <c r="H64" s="157"/>
      <c r="I64" s="157"/>
      <c r="J64" s="157"/>
      <c r="K64" s="157"/>
      <c r="L64" s="157"/>
      <c r="M64" s="157"/>
      <c r="N64" s="158"/>
      <c r="O64" s="77" t="s">
        <v>3171</v>
      </c>
      <c r="P64" s="146" t="s">
        <v>2633</v>
      </c>
      <c r="Q64" s="147"/>
      <c r="R64" s="147"/>
      <c r="S64" s="147"/>
      <c r="T64" s="147"/>
      <c r="U64" s="147"/>
      <c r="V64" s="147"/>
      <c r="W64" s="147"/>
      <c r="X64" s="147"/>
      <c r="Y64" s="147"/>
      <c r="Z64" s="147"/>
      <c r="AA64" s="147"/>
      <c r="AB64" s="147"/>
      <c r="AC64" s="147"/>
      <c r="AD64" s="148"/>
      <c r="AE64" s="142" t="str">
        <f t="shared" ca="1" si="31"/>
        <v>sgioy_202310_backup_mt2_tokutei_kizai_kanren</v>
      </c>
      <c r="AF64" s="143"/>
      <c r="AG64" s="143"/>
      <c r="AH64" s="143"/>
      <c r="AI64" s="143"/>
      <c r="AJ64" s="143"/>
      <c r="AK64" s="143"/>
      <c r="AL64" s="144"/>
      <c r="AM64" s="142" t="str">
        <f t="shared" ca="1" si="32"/>
        <v>特定器材関連マスタテーブルから組入れ条件の第一条件で絞り込んだ結果を格納するテーブル</v>
      </c>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5"/>
      <c r="BK64" s="32" t="str">
        <f t="shared" si="16"/>
        <v>ENT_01_A4-10_バックアップ_特定器材関連マスタ.sql</v>
      </c>
    </row>
    <row r="65" spans="1:64" ht="37.5" hidden="1" customHeight="1" outlineLevel="1">
      <c r="A65" s="34" t="str">
        <f t="shared" si="30"/>
        <v>バックアップ_DPC関連マスタ</v>
      </c>
      <c r="B65" s="153" t="str">
        <f t="shared" si="20"/>
        <v>01</v>
      </c>
      <c r="C65" s="154"/>
      <c r="D65" s="154"/>
      <c r="E65" s="154"/>
      <c r="F65" s="155"/>
      <c r="G65" s="156" t="s">
        <v>195</v>
      </c>
      <c r="H65" s="157"/>
      <c r="I65" s="157"/>
      <c r="J65" s="157"/>
      <c r="K65" s="157"/>
      <c r="L65" s="157"/>
      <c r="M65" s="157"/>
      <c r="N65" s="158"/>
      <c r="O65" s="77" t="s">
        <v>3172</v>
      </c>
      <c r="P65" s="146" t="s">
        <v>2645</v>
      </c>
      <c r="Q65" s="147"/>
      <c r="R65" s="147"/>
      <c r="S65" s="147"/>
      <c r="T65" s="147"/>
      <c r="U65" s="147"/>
      <c r="V65" s="147"/>
      <c r="W65" s="147"/>
      <c r="X65" s="147"/>
      <c r="Y65" s="147"/>
      <c r="Z65" s="147"/>
      <c r="AA65" s="147"/>
      <c r="AB65" s="147"/>
      <c r="AC65" s="147"/>
      <c r="AD65" s="148"/>
      <c r="AE65" s="142" t="str">
        <f t="shared" ca="1" si="31"/>
        <v>sgioy_202310_backup_mt2_dpc_kanren</v>
      </c>
      <c r="AF65" s="143"/>
      <c r="AG65" s="143"/>
      <c r="AH65" s="143"/>
      <c r="AI65" s="143"/>
      <c r="AJ65" s="143"/>
      <c r="AK65" s="143"/>
      <c r="AL65" s="144"/>
      <c r="AM65" s="142" t="str">
        <f t="shared" ca="1" si="32"/>
        <v>DPC関連マスタテーブルから組入れ条件の第一条件で絞り込んだ結果を格納するテーブル</v>
      </c>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5"/>
      <c r="BK65" s="32" t="str">
        <f t="shared" si="16"/>
        <v>ENT_01_A4-11_バックアップ_DPC関連マスタ.sql</v>
      </c>
    </row>
    <row r="66" spans="1:64" ht="37.5" hidden="1" customHeight="1" outlineLevel="1">
      <c r="A66" s="34" t="str">
        <f t="shared" si="30"/>
        <v>バックアップ_疾患関連マスタ</v>
      </c>
      <c r="B66" s="153" t="str">
        <f t="shared" si="20"/>
        <v>01</v>
      </c>
      <c r="C66" s="154"/>
      <c r="D66" s="154"/>
      <c r="E66" s="154"/>
      <c r="F66" s="155"/>
      <c r="G66" s="156" t="s">
        <v>195</v>
      </c>
      <c r="H66" s="157"/>
      <c r="I66" s="157"/>
      <c r="J66" s="157"/>
      <c r="K66" s="157"/>
      <c r="L66" s="157"/>
      <c r="M66" s="157"/>
      <c r="N66" s="158"/>
      <c r="O66" s="77" t="s">
        <v>3173</v>
      </c>
      <c r="P66" s="146" t="s">
        <v>2654</v>
      </c>
      <c r="Q66" s="147"/>
      <c r="R66" s="147"/>
      <c r="S66" s="147"/>
      <c r="T66" s="147"/>
      <c r="U66" s="147"/>
      <c r="V66" s="147"/>
      <c r="W66" s="147"/>
      <c r="X66" s="147"/>
      <c r="Y66" s="147"/>
      <c r="Z66" s="147"/>
      <c r="AA66" s="147"/>
      <c r="AB66" s="147"/>
      <c r="AC66" s="147"/>
      <c r="AD66" s="148"/>
      <c r="AE66" s="142" t="str">
        <f t="shared" ca="1" si="31"/>
        <v>sgioy_202310_backup_mt2_shikkan_kanren</v>
      </c>
      <c r="AF66" s="143"/>
      <c r="AG66" s="143"/>
      <c r="AH66" s="143"/>
      <c r="AI66" s="143"/>
      <c r="AJ66" s="143"/>
      <c r="AK66" s="143"/>
      <c r="AL66" s="144"/>
      <c r="AM66" s="142" t="str">
        <f t="shared" ca="1" si="32"/>
        <v>疾患関連マスタテーブルから組入れ条件の第一条件で絞り込んだ結果を格納するテーブル</v>
      </c>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5"/>
      <c r="BK66" s="32" t="str">
        <f t="shared" si="16"/>
        <v>ENT_01_A4-12_バックアップ_疾患関連マスタ.sql</v>
      </c>
    </row>
    <row r="67" spans="1:64" ht="37.5" hidden="1" customHeight="1" outlineLevel="1">
      <c r="A67" s="34" t="str">
        <f t="shared" si="30"/>
        <v>バックアップ_医薬品成分関連マスタ</v>
      </c>
      <c r="B67" s="153" t="str">
        <f t="shared" si="20"/>
        <v>01</v>
      </c>
      <c r="C67" s="154"/>
      <c r="D67" s="154"/>
      <c r="E67" s="154"/>
      <c r="F67" s="155"/>
      <c r="G67" s="156" t="s">
        <v>195</v>
      </c>
      <c r="H67" s="157"/>
      <c r="I67" s="157"/>
      <c r="J67" s="157"/>
      <c r="K67" s="157"/>
      <c r="L67" s="157"/>
      <c r="M67" s="157"/>
      <c r="N67" s="158"/>
      <c r="O67" s="77" t="s">
        <v>3174</v>
      </c>
      <c r="P67" s="146" t="s">
        <v>2683</v>
      </c>
      <c r="Q67" s="147"/>
      <c r="R67" s="147"/>
      <c r="S67" s="147"/>
      <c r="T67" s="147"/>
      <c r="U67" s="147"/>
      <c r="V67" s="147"/>
      <c r="W67" s="147"/>
      <c r="X67" s="147"/>
      <c r="Y67" s="147"/>
      <c r="Z67" s="147"/>
      <c r="AA67" s="147"/>
      <c r="AB67" s="147"/>
      <c r="AC67" s="147"/>
      <c r="AD67" s="148"/>
      <c r="AE67" s="142" t="str">
        <f t="shared" ca="1" si="31"/>
        <v>sgioy_202310_backup_mt2_iyakuhin_seibun_kanren</v>
      </c>
      <c r="AF67" s="143"/>
      <c r="AG67" s="143"/>
      <c r="AH67" s="143"/>
      <c r="AI67" s="143"/>
      <c r="AJ67" s="143"/>
      <c r="AK67" s="143"/>
      <c r="AL67" s="144"/>
      <c r="AM67" s="142" t="str">
        <f t="shared" ca="1" si="32"/>
        <v>医薬品成分関連マスタテーブルから組入れ条件の第一条件で絞り込んだ結果を格納するテーブル</v>
      </c>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5"/>
      <c r="BK67" s="32" t="str">
        <f t="shared" si="16"/>
        <v>ENT_01_A4-13_バックアップ_医薬品成分関連マスタ.sql</v>
      </c>
    </row>
    <row r="68" spans="1:64" ht="37.5" hidden="1" customHeight="1" outlineLevel="1">
      <c r="A68" s="34" t="str">
        <f t="shared" si="30"/>
        <v>バックアップ_医薬品適用病名関連マスタ</v>
      </c>
      <c r="B68" s="153" t="str">
        <f t="shared" si="20"/>
        <v>01</v>
      </c>
      <c r="C68" s="154"/>
      <c r="D68" s="154"/>
      <c r="E68" s="154"/>
      <c r="F68" s="155"/>
      <c r="G68" s="156" t="s">
        <v>195</v>
      </c>
      <c r="H68" s="157"/>
      <c r="I68" s="157"/>
      <c r="J68" s="157"/>
      <c r="K68" s="157"/>
      <c r="L68" s="157"/>
      <c r="M68" s="157"/>
      <c r="N68" s="158"/>
      <c r="O68" s="77" t="s">
        <v>3175</v>
      </c>
      <c r="P68" s="146" t="s">
        <v>2704</v>
      </c>
      <c r="Q68" s="147"/>
      <c r="R68" s="147"/>
      <c r="S68" s="147"/>
      <c r="T68" s="147"/>
      <c r="U68" s="147"/>
      <c r="V68" s="147"/>
      <c r="W68" s="147"/>
      <c r="X68" s="147"/>
      <c r="Y68" s="147"/>
      <c r="Z68" s="147"/>
      <c r="AA68" s="147"/>
      <c r="AB68" s="147"/>
      <c r="AC68" s="147"/>
      <c r="AD68" s="148"/>
      <c r="AE68" s="142" t="str">
        <f t="shared" ca="1" si="31"/>
        <v>sgioy_202310_backup_mt2_iyakuhin_tekiyou_byomei_kanren</v>
      </c>
      <c r="AF68" s="143"/>
      <c r="AG68" s="143"/>
      <c r="AH68" s="143"/>
      <c r="AI68" s="143"/>
      <c r="AJ68" s="143"/>
      <c r="AK68" s="143"/>
      <c r="AL68" s="144"/>
      <c r="AM68" s="142" t="str">
        <f t="shared" ca="1" si="32"/>
        <v>医薬品適用病名関連マスタテーブルから組入れ条件の第一条件で絞り込んだ結果を格納するテーブル</v>
      </c>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5"/>
      <c r="BK68" s="32" t="str">
        <f t="shared" si="16"/>
        <v>ENT_01_A4-14_バックアップ_医薬品適用病名関連マスタ.sql</v>
      </c>
    </row>
    <row r="69" spans="1:64" ht="37.5" hidden="1" customHeight="1" outlineLevel="1">
      <c r="A69" s="34" t="str">
        <f t="shared" si="12"/>
        <v>バックアップ_MML共通</v>
      </c>
      <c r="B69" s="153" t="str">
        <f t="shared" si="20"/>
        <v>01</v>
      </c>
      <c r="C69" s="154"/>
      <c r="D69" s="154"/>
      <c r="E69" s="154"/>
      <c r="F69" s="155"/>
      <c r="G69" s="156" t="s">
        <v>195</v>
      </c>
      <c r="H69" s="157"/>
      <c r="I69" s="157"/>
      <c r="J69" s="157"/>
      <c r="K69" s="157"/>
      <c r="L69" s="157"/>
      <c r="M69" s="157"/>
      <c r="N69" s="158"/>
      <c r="O69" s="77" t="s">
        <v>3190</v>
      </c>
      <c r="P69" s="146" t="s">
        <v>3191</v>
      </c>
      <c r="Q69" s="147"/>
      <c r="R69" s="147"/>
      <c r="S69" s="147"/>
      <c r="T69" s="147"/>
      <c r="U69" s="147"/>
      <c r="V69" s="147"/>
      <c r="W69" s="147"/>
      <c r="X69" s="147"/>
      <c r="Y69" s="147"/>
      <c r="Z69" s="147"/>
      <c r="AA69" s="147"/>
      <c r="AB69" s="147"/>
      <c r="AC69" s="147"/>
      <c r="AD69" s="148"/>
      <c r="AE69" s="142" t="str">
        <f t="shared" ca="1" si="13"/>
        <v>sgioy_202310_backup_text_mml_common</v>
      </c>
      <c r="AF69" s="143"/>
      <c r="AG69" s="143"/>
      <c r="AH69" s="143"/>
      <c r="AI69" s="143"/>
      <c r="AJ69" s="143"/>
      <c r="AK69" s="143"/>
      <c r="AL69" s="144"/>
      <c r="AM69" s="142" t="str">
        <f t="shared" ca="1" si="14"/>
        <v>MML共通テーブルから組入れ条件の第一条件で絞り込んだ結果を格納するテーブル</v>
      </c>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5"/>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53" t="str">
        <f t="shared" si="20"/>
        <v>01</v>
      </c>
      <c r="C70" s="154"/>
      <c r="D70" s="154"/>
      <c r="E70" s="154"/>
      <c r="F70" s="155"/>
      <c r="G70" s="156" t="s">
        <v>195</v>
      </c>
      <c r="H70" s="157"/>
      <c r="I70" s="157"/>
      <c r="J70" s="157"/>
      <c r="K70" s="157"/>
      <c r="L70" s="157"/>
      <c r="M70" s="157"/>
      <c r="N70" s="158"/>
      <c r="O70" s="77" t="s">
        <v>3192</v>
      </c>
      <c r="P70" s="146" t="s">
        <v>2783</v>
      </c>
      <c r="Q70" s="147"/>
      <c r="R70" s="147"/>
      <c r="S70" s="147"/>
      <c r="T70" s="147"/>
      <c r="U70" s="147"/>
      <c r="V70" s="147"/>
      <c r="W70" s="147"/>
      <c r="X70" s="147"/>
      <c r="Y70" s="147"/>
      <c r="Z70" s="147"/>
      <c r="AA70" s="147"/>
      <c r="AB70" s="147"/>
      <c r="AC70" s="147"/>
      <c r="AD70" s="148"/>
      <c r="AE70" s="142" t="str">
        <f t="shared" ref="AE70" ca="1" si="34">IFERROR(INDIRECT(P70&amp;"!D8"),"")</f>
        <v>sgioy_202310_backup_text_mml_mmlrd_body</v>
      </c>
      <c r="AF70" s="143"/>
      <c r="AG70" s="143"/>
      <c r="AH70" s="143"/>
      <c r="AI70" s="143"/>
      <c r="AJ70" s="143"/>
      <c r="AK70" s="143"/>
      <c r="AL70" s="144"/>
      <c r="AM70" s="142" t="str">
        <f t="shared" ref="AM70" ca="1" si="35">IFERROR(INDIRECT(P70&amp;"!D9"),"")</f>
        <v>MML_診断履歴情報モジュール_本文テーブルから組入れ条件の第一条件で絞り込んだ結果を格納するテーブル</v>
      </c>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5"/>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53" t="str">
        <f t="shared" si="20"/>
        <v>01</v>
      </c>
      <c r="C71" s="154"/>
      <c r="D71" s="154"/>
      <c r="E71" s="154"/>
      <c r="F71" s="155"/>
      <c r="G71" s="156" t="s">
        <v>195</v>
      </c>
      <c r="H71" s="157"/>
      <c r="I71" s="157"/>
      <c r="J71" s="157"/>
      <c r="K71" s="157"/>
      <c r="L71" s="157"/>
      <c r="M71" s="157"/>
      <c r="N71" s="158"/>
      <c r="O71" s="77" t="s">
        <v>3193</v>
      </c>
      <c r="P71" s="146" t="s">
        <v>2799</v>
      </c>
      <c r="Q71" s="147"/>
      <c r="R71" s="147"/>
      <c r="S71" s="147"/>
      <c r="T71" s="147"/>
      <c r="U71" s="147"/>
      <c r="V71" s="147"/>
      <c r="W71" s="147"/>
      <c r="X71" s="147"/>
      <c r="Y71" s="147"/>
      <c r="Z71" s="147"/>
      <c r="AA71" s="147"/>
      <c r="AB71" s="147"/>
      <c r="AC71" s="147"/>
      <c r="AD71" s="148"/>
      <c r="AE71" s="142" t="str">
        <f t="shared" ca="1" si="13"/>
        <v>sgioy_202310_backup_text_mml_mmlrd_byomei</v>
      </c>
      <c r="AF71" s="143"/>
      <c r="AG71" s="143"/>
      <c r="AH71" s="143"/>
      <c r="AI71" s="143"/>
      <c r="AJ71" s="143"/>
      <c r="AK71" s="143"/>
      <c r="AL71" s="144"/>
      <c r="AM71" s="142" t="str">
        <f t="shared" ca="1" si="14"/>
        <v>MML_診断履歴情報モジュール_病名テーブルから組入れ条件の第一条件で絞り込んだ結果を格納するテーブル</v>
      </c>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5"/>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53" t="str">
        <f t="shared" si="20"/>
        <v>01</v>
      </c>
      <c r="C72" s="154"/>
      <c r="D72" s="154"/>
      <c r="E72" s="154"/>
      <c r="F72" s="155"/>
      <c r="G72" s="156" t="s">
        <v>195</v>
      </c>
      <c r="H72" s="157"/>
      <c r="I72" s="157"/>
      <c r="J72" s="157"/>
      <c r="K72" s="157"/>
      <c r="L72" s="157"/>
      <c r="M72" s="157"/>
      <c r="N72" s="158"/>
      <c r="O72" s="77" t="s">
        <v>3194</v>
      </c>
      <c r="P72" s="146" t="s">
        <v>2810</v>
      </c>
      <c r="Q72" s="147"/>
      <c r="R72" s="147"/>
      <c r="S72" s="147"/>
      <c r="T72" s="147"/>
      <c r="U72" s="147"/>
      <c r="V72" s="147"/>
      <c r="W72" s="147"/>
      <c r="X72" s="147"/>
      <c r="Y72" s="147"/>
      <c r="Z72" s="147"/>
      <c r="AA72" s="147"/>
      <c r="AB72" s="147"/>
      <c r="AC72" s="147"/>
      <c r="AD72" s="148"/>
      <c r="AE72" s="142" t="str">
        <f t="shared" ref="AE72:AE104" ca="1" si="37">IFERROR(INDIRECT(P72&amp;"!D8"),"")</f>
        <v>sgioy_202310_backup_text_mml_mmlrd_category</v>
      </c>
      <c r="AF72" s="143"/>
      <c r="AG72" s="143"/>
      <c r="AH72" s="143"/>
      <c r="AI72" s="143"/>
      <c r="AJ72" s="143"/>
      <c r="AK72" s="143"/>
      <c r="AL72" s="144"/>
      <c r="AM72" s="142" t="str">
        <f t="shared" ref="AM72:AM104" ca="1" si="38">IFERROR(INDIRECT(P72&amp;"!D9"),"")</f>
        <v>MML_診断履歴情報モジュール_カテゴリ名テーブルから組入れ条件の第一条件で絞り込んだ結果を格納するテーブル</v>
      </c>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5"/>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53" t="str">
        <f t="shared" si="20"/>
        <v>01</v>
      </c>
      <c r="C73" s="154"/>
      <c r="D73" s="154"/>
      <c r="E73" s="154"/>
      <c r="F73" s="155"/>
      <c r="G73" s="156" t="s">
        <v>195</v>
      </c>
      <c r="H73" s="157"/>
      <c r="I73" s="157"/>
      <c r="J73" s="157"/>
      <c r="K73" s="157"/>
      <c r="L73" s="157"/>
      <c r="M73" s="157"/>
      <c r="N73" s="158"/>
      <c r="O73" s="77" t="s">
        <v>3938</v>
      </c>
      <c r="P73" s="146" t="s">
        <v>3939</v>
      </c>
      <c r="Q73" s="147"/>
      <c r="R73" s="147"/>
      <c r="S73" s="147"/>
      <c r="T73" s="147"/>
      <c r="U73" s="147"/>
      <c r="V73" s="147"/>
      <c r="W73" s="147"/>
      <c r="X73" s="147"/>
      <c r="Y73" s="147"/>
      <c r="Z73" s="147"/>
      <c r="AA73" s="147"/>
      <c r="AB73" s="147"/>
      <c r="AC73" s="147"/>
      <c r="AD73" s="148"/>
      <c r="AE73" s="142" t="str">
        <f t="shared" ref="AE73:AE78" ca="1" si="40">IFERROR(INDIRECT(P73&amp;"!D8"),"")</f>
        <v>sgioy_202310_backup_text_mml_mmllb_body</v>
      </c>
      <c r="AF73" s="143"/>
      <c r="AG73" s="143"/>
      <c r="AH73" s="143"/>
      <c r="AI73" s="143"/>
      <c r="AJ73" s="143"/>
      <c r="AK73" s="143"/>
      <c r="AL73" s="144"/>
      <c r="AM73" s="142" t="str">
        <f t="shared" ref="AM73:AM78" ca="1" si="41">IFERROR(INDIRECT(P73&amp;"!D9"),"")</f>
        <v>MML_検歴情報モジュール_本文テーブルから組入れ条件の第一条件で絞り込んだ結果を格納するテーブル</v>
      </c>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5"/>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53" t="str">
        <f t="shared" si="20"/>
        <v>01</v>
      </c>
      <c r="C74" s="154"/>
      <c r="D74" s="154"/>
      <c r="E74" s="154"/>
      <c r="F74" s="155"/>
      <c r="G74" s="156" t="s">
        <v>195</v>
      </c>
      <c r="H74" s="157"/>
      <c r="I74" s="157"/>
      <c r="J74" s="157"/>
      <c r="K74" s="157"/>
      <c r="L74" s="157"/>
      <c r="M74" s="157"/>
      <c r="N74" s="158"/>
      <c r="O74" s="77" t="s">
        <v>3940</v>
      </c>
      <c r="P74" s="146" t="s">
        <v>3941</v>
      </c>
      <c r="Q74" s="147"/>
      <c r="R74" s="147"/>
      <c r="S74" s="147"/>
      <c r="T74" s="147"/>
      <c r="U74" s="147"/>
      <c r="V74" s="147"/>
      <c r="W74" s="147"/>
      <c r="X74" s="147"/>
      <c r="Y74" s="147"/>
      <c r="Z74" s="147"/>
      <c r="AA74" s="147"/>
      <c r="AB74" s="147"/>
      <c r="AC74" s="147"/>
      <c r="AD74" s="148"/>
      <c r="AE74" s="142" t="str">
        <f t="shared" ca="1" si="40"/>
        <v>sgioy_202310_backup_text_mml_mmllb_memo</v>
      </c>
      <c r="AF74" s="143"/>
      <c r="AG74" s="143"/>
      <c r="AH74" s="143"/>
      <c r="AI74" s="143"/>
      <c r="AJ74" s="143"/>
      <c r="AK74" s="143"/>
      <c r="AL74" s="144"/>
      <c r="AM74" s="142" t="str">
        <f t="shared" ca="1" si="41"/>
        <v>MML_検歴情報モジュール_報告コメントテーブルから組入れ条件の第一条件で絞り込んだ結果を格納するテーブル</v>
      </c>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5"/>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53" t="str">
        <f t="shared" si="20"/>
        <v>01</v>
      </c>
      <c r="C75" s="154"/>
      <c r="D75" s="154"/>
      <c r="E75" s="154"/>
      <c r="F75" s="155"/>
      <c r="G75" s="156" t="s">
        <v>195</v>
      </c>
      <c r="H75" s="157"/>
      <c r="I75" s="157"/>
      <c r="J75" s="157"/>
      <c r="K75" s="157"/>
      <c r="L75" s="157"/>
      <c r="M75" s="157"/>
      <c r="N75" s="158"/>
      <c r="O75" s="77" t="s">
        <v>3942</v>
      </c>
      <c r="P75" s="146" t="s">
        <v>3943</v>
      </c>
      <c r="Q75" s="147"/>
      <c r="R75" s="147"/>
      <c r="S75" s="147"/>
      <c r="T75" s="147"/>
      <c r="U75" s="147"/>
      <c r="V75" s="147"/>
      <c r="W75" s="147"/>
      <c r="X75" s="147"/>
      <c r="Y75" s="147"/>
      <c r="Z75" s="147"/>
      <c r="AA75" s="147"/>
      <c r="AB75" s="147"/>
      <c r="AC75" s="147"/>
      <c r="AD75" s="148"/>
      <c r="AE75" s="142" t="str">
        <f t="shared" ca="1" si="40"/>
        <v>sgioy_202310_backup_text_mml_mmllb_labo_test</v>
      </c>
      <c r="AF75" s="143"/>
      <c r="AG75" s="143"/>
      <c r="AH75" s="143"/>
      <c r="AI75" s="143"/>
      <c r="AJ75" s="143"/>
      <c r="AK75" s="143"/>
      <c r="AL75" s="144"/>
      <c r="AM75" s="142" t="str">
        <f t="shared" ca="1" si="41"/>
        <v>MML_検歴情報モジュール_検体検査結果情報テーブルから組入れ条件の第一条件で絞り込んだ結果を格納するテーブル</v>
      </c>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5"/>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53" t="str">
        <f t="shared" si="20"/>
        <v>01</v>
      </c>
      <c r="C76" s="154"/>
      <c r="D76" s="154"/>
      <c r="E76" s="154"/>
      <c r="F76" s="155"/>
      <c r="G76" s="156" t="s">
        <v>195</v>
      </c>
      <c r="H76" s="157"/>
      <c r="I76" s="157"/>
      <c r="J76" s="157"/>
      <c r="K76" s="157"/>
      <c r="L76" s="157"/>
      <c r="M76" s="157"/>
      <c r="N76" s="158"/>
      <c r="O76" s="77" t="s">
        <v>3944</v>
      </c>
      <c r="P76" s="146" t="s">
        <v>3945</v>
      </c>
      <c r="Q76" s="147"/>
      <c r="R76" s="147"/>
      <c r="S76" s="147"/>
      <c r="T76" s="147"/>
      <c r="U76" s="147"/>
      <c r="V76" s="147"/>
      <c r="W76" s="147"/>
      <c r="X76" s="147"/>
      <c r="Y76" s="147"/>
      <c r="Z76" s="147"/>
      <c r="AA76" s="147"/>
      <c r="AB76" s="147"/>
      <c r="AC76" s="147"/>
      <c r="AD76" s="148"/>
      <c r="AE76" s="142" t="str">
        <f t="shared" ca="1" si="40"/>
        <v>sgioy_202310_backup_text_mml_mmllb_spc_memo</v>
      </c>
      <c r="AF76" s="143"/>
      <c r="AG76" s="143"/>
      <c r="AH76" s="143"/>
      <c r="AI76" s="143"/>
      <c r="AJ76" s="143"/>
      <c r="AK76" s="143"/>
      <c r="AL76" s="144"/>
      <c r="AM76" s="142" t="str">
        <f t="shared" ca="1" si="41"/>
        <v>MML_検歴情報モジュール_検体コメントテーブルから組入れ条件の第一条件で絞り込んだ結果を格納するテーブル</v>
      </c>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5"/>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53" t="str">
        <f t="shared" si="20"/>
        <v>01</v>
      </c>
      <c r="C77" s="154"/>
      <c r="D77" s="154"/>
      <c r="E77" s="154"/>
      <c r="F77" s="155"/>
      <c r="G77" s="156" t="s">
        <v>195</v>
      </c>
      <c r="H77" s="157"/>
      <c r="I77" s="157"/>
      <c r="J77" s="157"/>
      <c r="K77" s="157"/>
      <c r="L77" s="157"/>
      <c r="M77" s="157"/>
      <c r="N77" s="158"/>
      <c r="O77" s="77" t="s">
        <v>3946</v>
      </c>
      <c r="P77" s="146" t="s">
        <v>3947</v>
      </c>
      <c r="Q77" s="147"/>
      <c r="R77" s="147"/>
      <c r="S77" s="147"/>
      <c r="T77" s="147"/>
      <c r="U77" s="147"/>
      <c r="V77" s="147"/>
      <c r="W77" s="147"/>
      <c r="X77" s="147"/>
      <c r="Y77" s="147"/>
      <c r="Z77" s="147"/>
      <c r="AA77" s="147"/>
      <c r="AB77" s="147"/>
      <c r="AC77" s="147"/>
      <c r="AD77" s="148"/>
      <c r="AE77" s="142" t="str">
        <f t="shared" ca="1" si="40"/>
        <v>sgioy_202310_backup_text_mml_mmllb_item</v>
      </c>
      <c r="AF77" s="143"/>
      <c r="AG77" s="143"/>
      <c r="AH77" s="143"/>
      <c r="AI77" s="143"/>
      <c r="AJ77" s="143"/>
      <c r="AK77" s="143"/>
      <c r="AL77" s="144"/>
      <c r="AM77" s="142" t="str">
        <f t="shared" ca="1" si="41"/>
        <v>MML_検歴情報モジュール_検査項目テーブルから組入れ条件の第一条件で絞り込んだ結果を格納するテーブル</v>
      </c>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5"/>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53" t="str">
        <f t="shared" si="20"/>
        <v>01</v>
      </c>
      <c r="C78" s="154"/>
      <c r="D78" s="154"/>
      <c r="E78" s="154"/>
      <c r="F78" s="155"/>
      <c r="G78" s="156" t="s">
        <v>195</v>
      </c>
      <c r="H78" s="157"/>
      <c r="I78" s="157"/>
      <c r="J78" s="157"/>
      <c r="K78" s="157"/>
      <c r="L78" s="157"/>
      <c r="M78" s="157"/>
      <c r="N78" s="158"/>
      <c r="O78" s="77" t="s">
        <v>3948</v>
      </c>
      <c r="P78" s="146" t="s">
        <v>3949</v>
      </c>
      <c r="Q78" s="147"/>
      <c r="R78" s="147"/>
      <c r="S78" s="147"/>
      <c r="T78" s="147"/>
      <c r="U78" s="147"/>
      <c r="V78" s="147"/>
      <c r="W78" s="147"/>
      <c r="X78" s="147"/>
      <c r="Y78" s="147"/>
      <c r="Z78" s="147"/>
      <c r="AA78" s="147"/>
      <c r="AB78" s="147"/>
      <c r="AC78" s="147"/>
      <c r="AD78" s="148"/>
      <c r="AE78" s="142" t="str">
        <f t="shared" ca="1" si="40"/>
        <v>sgioy_202310_backup_text_mml_mmllb_item_memo</v>
      </c>
      <c r="AF78" s="143"/>
      <c r="AG78" s="143"/>
      <c r="AH78" s="143"/>
      <c r="AI78" s="143"/>
      <c r="AJ78" s="143"/>
      <c r="AK78" s="143"/>
      <c r="AL78" s="144"/>
      <c r="AM78" s="142" t="str">
        <f t="shared" ca="1" si="41"/>
        <v>MML_検歴情報モジュール_検査項目コメントテーブルから組入れ条件の第一条件で絞り込んだ結果を格納するテーブル</v>
      </c>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5"/>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53" t="str">
        <f t="shared" si="20"/>
        <v>01</v>
      </c>
      <c r="C79" s="154"/>
      <c r="D79" s="154"/>
      <c r="E79" s="154"/>
      <c r="F79" s="155"/>
      <c r="G79" s="156" t="s">
        <v>195</v>
      </c>
      <c r="H79" s="157"/>
      <c r="I79" s="157"/>
      <c r="J79" s="157"/>
      <c r="K79" s="157"/>
      <c r="L79" s="157"/>
      <c r="M79" s="157"/>
      <c r="N79" s="158"/>
      <c r="O79" s="77" t="s">
        <v>3195</v>
      </c>
      <c r="P79" s="146" t="s">
        <v>2815</v>
      </c>
      <c r="Q79" s="147"/>
      <c r="R79" s="147"/>
      <c r="S79" s="147"/>
      <c r="T79" s="147"/>
      <c r="U79" s="147"/>
      <c r="V79" s="147"/>
      <c r="W79" s="147"/>
      <c r="X79" s="147"/>
      <c r="Y79" s="147"/>
      <c r="Z79" s="147"/>
      <c r="AA79" s="147"/>
      <c r="AB79" s="147"/>
      <c r="AC79" s="147"/>
      <c r="AD79" s="148"/>
      <c r="AE79" s="142" t="str">
        <f t="shared" ca="1" si="37"/>
        <v>sgioy_202310_backup_text_mml_mmlps_body</v>
      </c>
      <c r="AF79" s="143"/>
      <c r="AG79" s="143"/>
      <c r="AH79" s="143"/>
      <c r="AI79" s="143"/>
      <c r="AJ79" s="143"/>
      <c r="AK79" s="143"/>
      <c r="AL79" s="144"/>
      <c r="AM79" s="142" t="str">
        <f t="shared" ca="1" si="38"/>
        <v>MML_処方箋モジュール_本文テーブルから組入れ条件の第一条件で絞り込んだ結果を格納するテーブル</v>
      </c>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5"/>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53" t="str">
        <f t="shared" si="20"/>
        <v>01</v>
      </c>
      <c r="C80" s="154"/>
      <c r="D80" s="154"/>
      <c r="E80" s="154"/>
      <c r="F80" s="155"/>
      <c r="G80" s="156" t="s">
        <v>195</v>
      </c>
      <c r="H80" s="157"/>
      <c r="I80" s="157"/>
      <c r="J80" s="157"/>
      <c r="K80" s="157"/>
      <c r="L80" s="157"/>
      <c r="M80" s="157"/>
      <c r="N80" s="158"/>
      <c r="O80" s="77" t="s">
        <v>3196</v>
      </c>
      <c r="P80" s="146" t="s">
        <v>2823</v>
      </c>
      <c r="Q80" s="147"/>
      <c r="R80" s="147"/>
      <c r="S80" s="147"/>
      <c r="T80" s="147"/>
      <c r="U80" s="147"/>
      <c r="V80" s="147"/>
      <c r="W80" s="147"/>
      <c r="X80" s="147"/>
      <c r="Y80" s="147"/>
      <c r="Z80" s="147"/>
      <c r="AA80" s="147"/>
      <c r="AB80" s="147"/>
      <c r="AC80" s="147"/>
      <c r="AD80" s="148"/>
      <c r="AE80" s="142" t="str">
        <f t="shared" ca="1" si="37"/>
        <v>sgioy_202310_backup_text_mml_mmlps_medication</v>
      </c>
      <c r="AF80" s="143"/>
      <c r="AG80" s="143"/>
      <c r="AH80" s="143"/>
      <c r="AI80" s="143"/>
      <c r="AJ80" s="143"/>
      <c r="AK80" s="143"/>
      <c r="AL80" s="144"/>
      <c r="AM80" s="142" t="str">
        <f t="shared" ca="1" si="38"/>
        <v>MML_処方箋モジュール_投薬テーブルから組入れ条件の第一条件で絞り込んだ結果を格納するテーブル</v>
      </c>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5"/>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53" t="str">
        <f t="shared" si="20"/>
        <v>01</v>
      </c>
      <c r="C81" s="154"/>
      <c r="D81" s="154"/>
      <c r="E81" s="154"/>
      <c r="F81" s="155"/>
      <c r="G81" s="156" t="s">
        <v>195</v>
      </c>
      <c r="H81" s="157"/>
      <c r="I81" s="157"/>
      <c r="J81" s="157"/>
      <c r="K81" s="157"/>
      <c r="L81" s="157"/>
      <c r="M81" s="157"/>
      <c r="N81" s="158"/>
      <c r="O81" s="77" t="s">
        <v>3197</v>
      </c>
      <c r="P81" s="146" t="s">
        <v>2859</v>
      </c>
      <c r="Q81" s="147"/>
      <c r="R81" s="147"/>
      <c r="S81" s="147"/>
      <c r="T81" s="147"/>
      <c r="U81" s="147"/>
      <c r="V81" s="147"/>
      <c r="W81" s="147"/>
      <c r="X81" s="147"/>
      <c r="Y81" s="147"/>
      <c r="Z81" s="147"/>
      <c r="AA81" s="147"/>
      <c r="AB81" s="147"/>
      <c r="AC81" s="147"/>
      <c r="AD81" s="148"/>
      <c r="AE81" s="142" t="str">
        <f t="shared" ca="1" si="37"/>
        <v>sgioy_202310_backup_text_mml_mmlps_medicine</v>
      </c>
      <c r="AF81" s="143"/>
      <c r="AG81" s="143"/>
      <c r="AH81" s="143"/>
      <c r="AI81" s="143"/>
      <c r="AJ81" s="143"/>
      <c r="AK81" s="143"/>
      <c r="AL81" s="144"/>
      <c r="AM81" s="142" t="str">
        <f t="shared" ca="1" si="38"/>
        <v>MML_処方箋モジュール_薬剤テーブルから組入れ条件の第一条件で絞り込んだ結果を格納するテーブル</v>
      </c>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5"/>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53" t="str">
        <f t="shared" si="20"/>
        <v>01</v>
      </c>
      <c r="C82" s="154"/>
      <c r="D82" s="154"/>
      <c r="E82" s="154"/>
      <c r="F82" s="155"/>
      <c r="G82" s="156" t="s">
        <v>195</v>
      </c>
      <c r="H82" s="157"/>
      <c r="I82" s="157"/>
      <c r="J82" s="157"/>
      <c r="K82" s="157"/>
      <c r="L82" s="157"/>
      <c r="M82" s="157"/>
      <c r="N82" s="158"/>
      <c r="O82" s="77" t="s">
        <v>3198</v>
      </c>
      <c r="P82" s="146" t="s">
        <v>2864</v>
      </c>
      <c r="Q82" s="147"/>
      <c r="R82" s="147"/>
      <c r="S82" s="147"/>
      <c r="T82" s="147"/>
      <c r="U82" s="147"/>
      <c r="V82" s="147"/>
      <c r="W82" s="147"/>
      <c r="X82" s="147"/>
      <c r="Y82" s="147"/>
      <c r="Z82" s="147"/>
      <c r="AA82" s="147"/>
      <c r="AB82" s="147"/>
      <c r="AC82" s="147"/>
      <c r="AD82" s="148"/>
      <c r="AE82" s="142" t="str">
        <f t="shared" ca="1" si="37"/>
        <v>sgioy_202310_backup_text_mml_mmlinj_body</v>
      </c>
      <c r="AF82" s="143"/>
      <c r="AG82" s="143"/>
      <c r="AH82" s="143"/>
      <c r="AI82" s="143"/>
      <c r="AJ82" s="143"/>
      <c r="AK82" s="143"/>
      <c r="AL82" s="144"/>
      <c r="AM82" s="142" t="str">
        <f t="shared" ca="1" si="38"/>
        <v>MML_注射記録モジュール_本文テーブルから組入れ条件の第一条件で絞り込んだ結果を格納するテーブル</v>
      </c>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5"/>
      <c r="BK82" s="32" t="str">
        <f t="shared" si="16"/>
        <v>ENT_01_A6-27_バックアップ_MML_注射記録モジュール_本文.sql</v>
      </c>
    </row>
    <row r="83" spans="1:64" ht="37.5" hidden="1" customHeight="1" outlineLevel="1">
      <c r="A83" s="34" t="str">
        <f t="shared" si="36"/>
        <v>バックアップ_MML_注射記録モジュール_投薬</v>
      </c>
      <c r="B83" s="153" t="str">
        <f t="shared" si="20"/>
        <v>01</v>
      </c>
      <c r="C83" s="154"/>
      <c r="D83" s="154"/>
      <c r="E83" s="154"/>
      <c r="F83" s="155"/>
      <c r="G83" s="156" t="s">
        <v>195</v>
      </c>
      <c r="H83" s="157"/>
      <c r="I83" s="157"/>
      <c r="J83" s="157"/>
      <c r="K83" s="157"/>
      <c r="L83" s="157"/>
      <c r="M83" s="157"/>
      <c r="N83" s="158"/>
      <c r="O83" s="77" t="s">
        <v>3199</v>
      </c>
      <c r="P83" s="146" t="s">
        <v>2873</v>
      </c>
      <c r="Q83" s="147"/>
      <c r="R83" s="147"/>
      <c r="S83" s="147"/>
      <c r="T83" s="147"/>
      <c r="U83" s="147"/>
      <c r="V83" s="147"/>
      <c r="W83" s="147"/>
      <c r="X83" s="147"/>
      <c r="Y83" s="147"/>
      <c r="Z83" s="147"/>
      <c r="AA83" s="147"/>
      <c r="AB83" s="147"/>
      <c r="AC83" s="147"/>
      <c r="AD83" s="148"/>
      <c r="AE83" s="142" t="str">
        <f t="shared" ca="1" si="37"/>
        <v>sgioy_202310_backup_text_mml_mmlinj_medication</v>
      </c>
      <c r="AF83" s="143"/>
      <c r="AG83" s="143"/>
      <c r="AH83" s="143"/>
      <c r="AI83" s="143"/>
      <c r="AJ83" s="143"/>
      <c r="AK83" s="143"/>
      <c r="AL83" s="144"/>
      <c r="AM83" s="142" t="str">
        <f t="shared" ca="1" si="38"/>
        <v>MML_注射記録モジュール_投薬テーブルから組入れ条件の第一条件で絞り込んだ結果を格納するテーブル</v>
      </c>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5"/>
      <c r="BK83" s="32" t="str">
        <f t="shared" si="16"/>
        <v>ENT_01_A6-28_バックアップ_MML_注射記録モジュール_投薬.sql</v>
      </c>
    </row>
    <row r="84" spans="1:64" ht="37.5" hidden="1" customHeight="1" outlineLevel="1">
      <c r="A84" s="34" t="str">
        <f t="shared" si="36"/>
        <v>バックアップ_MML_注射記録モジュール_薬剤</v>
      </c>
      <c r="B84" s="153" t="str">
        <f t="shared" si="20"/>
        <v>01</v>
      </c>
      <c r="C84" s="154"/>
      <c r="D84" s="154"/>
      <c r="E84" s="154"/>
      <c r="F84" s="155"/>
      <c r="G84" s="156" t="s">
        <v>195</v>
      </c>
      <c r="H84" s="157"/>
      <c r="I84" s="157"/>
      <c r="J84" s="157"/>
      <c r="K84" s="157"/>
      <c r="L84" s="157"/>
      <c r="M84" s="157"/>
      <c r="N84" s="158"/>
      <c r="O84" s="77" t="s">
        <v>3200</v>
      </c>
      <c r="P84" s="146" t="s">
        <v>2874</v>
      </c>
      <c r="Q84" s="147"/>
      <c r="R84" s="147"/>
      <c r="S84" s="147"/>
      <c r="T84" s="147"/>
      <c r="U84" s="147"/>
      <c r="V84" s="147"/>
      <c r="W84" s="147"/>
      <c r="X84" s="147"/>
      <c r="Y84" s="147"/>
      <c r="Z84" s="147"/>
      <c r="AA84" s="147"/>
      <c r="AB84" s="147"/>
      <c r="AC84" s="147"/>
      <c r="AD84" s="148"/>
      <c r="AE84" s="142" t="str">
        <f t="shared" ca="1" si="37"/>
        <v>sgioy_202310_backup_text_mml_mmlinj_medicine</v>
      </c>
      <c r="AF84" s="143"/>
      <c r="AG84" s="143"/>
      <c r="AH84" s="143"/>
      <c r="AI84" s="143"/>
      <c r="AJ84" s="143"/>
      <c r="AK84" s="143"/>
      <c r="AL84" s="144"/>
      <c r="AM84" s="142" t="str">
        <f t="shared" ca="1" si="38"/>
        <v>MML_注射記録モジュール_薬剤テーブルから組入れ条件の第一条件で絞り込んだ結果を格納するテーブル</v>
      </c>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5"/>
      <c r="BK84" s="32" t="str">
        <f t="shared" ref="BK84:BK224"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53" t="str">
        <f t="shared" si="20"/>
        <v>01</v>
      </c>
      <c r="C85" s="154"/>
      <c r="D85" s="154"/>
      <c r="E85" s="154"/>
      <c r="F85" s="155"/>
      <c r="G85" s="156" t="s">
        <v>195</v>
      </c>
      <c r="H85" s="157"/>
      <c r="I85" s="157"/>
      <c r="J85" s="157"/>
      <c r="K85" s="157"/>
      <c r="L85" s="157"/>
      <c r="M85" s="157"/>
      <c r="N85" s="158"/>
      <c r="O85" s="77" t="s">
        <v>3201</v>
      </c>
      <c r="P85" s="146" t="s">
        <v>2875</v>
      </c>
      <c r="Q85" s="147"/>
      <c r="R85" s="147"/>
      <c r="S85" s="147"/>
      <c r="T85" s="147"/>
      <c r="U85" s="147"/>
      <c r="V85" s="147"/>
      <c r="W85" s="147"/>
      <c r="X85" s="147"/>
      <c r="Y85" s="147"/>
      <c r="Z85" s="147"/>
      <c r="AA85" s="147"/>
      <c r="AB85" s="147"/>
      <c r="AC85" s="147"/>
      <c r="AD85" s="148"/>
      <c r="AE85" s="142" t="str">
        <f t="shared" ref="AE85:AE92" ca="1" si="45">IFERROR(INDIRECT(P85&amp;"!D8"),"")</f>
        <v>sgioy_202310_backup_text_mml_mmlsg_surgery_item</v>
      </c>
      <c r="AF85" s="143"/>
      <c r="AG85" s="143"/>
      <c r="AH85" s="143"/>
      <c r="AI85" s="143"/>
      <c r="AJ85" s="143"/>
      <c r="AK85" s="143"/>
      <c r="AL85" s="144"/>
      <c r="AM85" s="142" t="str">
        <f t="shared" ref="AM85:AM92" ca="1" si="46">IFERROR(INDIRECT(P85&amp;"!D9"),"")</f>
        <v>MML_手術モジュール_手術項目テーブルから組入れ条件の第一条件で絞り込んだ結果を格納するテーブル</v>
      </c>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5"/>
      <c r="BK85" s="32" t="str">
        <f t="shared" si="43"/>
        <v>ENT_01_A6-42_バックアップ_MML_手術モジュール_手術項目.sql</v>
      </c>
    </row>
    <row r="86" spans="1:64" ht="37.5" hidden="1" customHeight="1" outlineLevel="1">
      <c r="A86" s="34" t="str">
        <f t="shared" si="44"/>
        <v>バックアップ_MML_手術モジュール_診療科情報</v>
      </c>
      <c r="B86" s="153" t="str">
        <f t="shared" si="20"/>
        <v>01</v>
      </c>
      <c r="C86" s="154"/>
      <c r="D86" s="154"/>
      <c r="E86" s="154"/>
      <c r="F86" s="155"/>
      <c r="G86" s="156" t="s">
        <v>195</v>
      </c>
      <c r="H86" s="157"/>
      <c r="I86" s="157"/>
      <c r="J86" s="157"/>
      <c r="K86" s="157"/>
      <c r="L86" s="157"/>
      <c r="M86" s="157"/>
      <c r="N86" s="158"/>
      <c r="O86" s="77" t="s">
        <v>3202</v>
      </c>
      <c r="P86" s="146" t="s">
        <v>2894</v>
      </c>
      <c r="Q86" s="147"/>
      <c r="R86" s="147"/>
      <c r="S86" s="147"/>
      <c r="T86" s="147"/>
      <c r="U86" s="147"/>
      <c r="V86" s="147"/>
      <c r="W86" s="147"/>
      <c r="X86" s="147"/>
      <c r="Y86" s="147"/>
      <c r="Z86" s="147"/>
      <c r="AA86" s="147"/>
      <c r="AB86" s="147"/>
      <c r="AC86" s="147"/>
      <c r="AD86" s="148"/>
      <c r="AE86" s="142" t="str">
        <f t="shared" ca="1" si="45"/>
        <v>sgioy_202310_backup_text_mml_mmlsg_dp</v>
      </c>
      <c r="AF86" s="143"/>
      <c r="AG86" s="143"/>
      <c r="AH86" s="143"/>
      <c r="AI86" s="143"/>
      <c r="AJ86" s="143"/>
      <c r="AK86" s="143"/>
      <c r="AL86" s="144"/>
      <c r="AM86" s="142" t="str">
        <f t="shared" ca="1" si="46"/>
        <v>MML_手術モジュール_診療科情報テーブルから組入れ条件の第一条件で絞り込んだ結果を格納するテーブル</v>
      </c>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5"/>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53" t="str">
        <f t="shared" si="20"/>
        <v>01</v>
      </c>
      <c r="C87" s="154"/>
      <c r="D87" s="154"/>
      <c r="E87" s="154"/>
      <c r="F87" s="155"/>
      <c r="G87" s="156" t="s">
        <v>195</v>
      </c>
      <c r="H87" s="157"/>
      <c r="I87" s="157"/>
      <c r="J87" s="157"/>
      <c r="K87" s="157"/>
      <c r="L87" s="157"/>
      <c r="M87" s="157"/>
      <c r="N87" s="158"/>
      <c r="O87" s="77" t="s">
        <v>3203</v>
      </c>
      <c r="P87" s="146" t="s">
        <v>2919</v>
      </c>
      <c r="Q87" s="147"/>
      <c r="R87" s="147"/>
      <c r="S87" s="147"/>
      <c r="T87" s="147"/>
      <c r="U87" s="147"/>
      <c r="V87" s="147"/>
      <c r="W87" s="147"/>
      <c r="X87" s="147"/>
      <c r="Y87" s="147"/>
      <c r="Z87" s="147"/>
      <c r="AA87" s="147"/>
      <c r="AB87" s="147"/>
      <c r="AC87" s="147"/>
      <c r="AD87" s="148"/>
      <c r="AE87" s="142" t="str">
        <f t="shared" ca="1" si="45"/>
        <v>sgioy_202310_backup_text_mml_mmlsg_rd</v>
      </c>
      <c r="AF87" s="143"/>
      <c r="AG87" s="143"/>
      <c r="AH87" s="143"/>
      <c r="AI87" s="143"/>
      <c r="AJ87" s="143"/>
      <c r="AK87" s="143"/>
      <c r="AL87" s="144"/>
      <c r="AM87" s="142" t="str">
        <f t="shared" ca="1" si="46"/>
        <v>MML_手術モジュール_診断履歴情報テーブルから組入れ条件の第一条件で絞り込んだ結果を格納するテーブル</v>
      </c>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5"/>
      <c r="BK87" s="32" t="str">
        <f t="shared" si="43"/>
        <v>ENT_01_A6-44_バックアップ_MML_手術モジュール_診断履歴情報.sql</v>
      </c>
    </row>
    <row r="88" spans="1:64" ht="37.5" hidden="1" customHeight="1" outlineLevel="1">
      <c r="A88" s="34" t="str">
        <f t="shared" si="44"/>
        <v>バックアップ_MML_手術モジュール_病名</v>
      </c>
      <c r="B88" s="153" t="str">
        <f t="shared" si="20"/>
        <v>01</v>
      </c>
      <c r="C88" s="154"/>
      <c r="D88" s="154"/>
      <c r="E88" s="154"/>
      <c r="F88" s="155"/>
      <c r="G88" s="156" t="s">
        <v>195</v>
      </c>
      <c r="H88" s="157"/>
      <c r="I88" s="157"/>
      <c r="J88" s="157"/>
      <c r="K88" s="157"/>
      <c r="L88" s="157"/>
      <c r="M88" s="157"/>
      <c r="N88" s="158"/>
      <c r="O88" s="77" t="s">
        <v>3204</v>
      </c>
      <c r="P88" s="146" t="s">
        <v>2922</v>
      </c>
      <c r="Q88" s="147"/>
      <c r="R88" s="147"/>
      <c r="S88" s="147"/>
      <c r="T88" s="147"/>
      <c r="U88" s="147"/>
      <c r="V88" s="147"/>
      <c r="W88" s="147"/>
      <c r="X88" s="147"/>
      <c r="Y88" s="147"/>
      <c r="Z88" s="147"/>
      <c r="AA88" s="147"/>
      <c r="AB88" s="147"/>
      <c r="AC88" s="147"/>
      <c r="AD88" s="148"/>
      <c r="AE88" s="142" t="str">
        <f t="shared" ca="1" si="45"/>
        <v>sgioy_202310_backup_text_mml_mmlsg_rd_byomei</v>
      </c>
      <c r="AF88" s="143"/>
      <c r="AG88" s="143"/>
      <c r="AH88" s="143"/>
      <c r="AI88" s="143"/>
      <c r="AJ88" s="143"/>
      <c r="AK88" s="143"/>
      <c r="AL88" s="144"/>
      <c r="AM88" s="142" t="str">
        <f t="shared" ca="1" si="46"/>
        <v>MML_手術モジュール_病名テーブルから組入れ条件の第一条件で絞り込んだ結果を格納するテーブル</v>
      </c>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5"/>
      <c r="BK88" s="32" t="str">
        <f t="shared" si="43"/>
        <v>ENT_01_A6-45_バックアップ_MML_手術モジュール_病名.sql</v>
      </c>
    </row>
    <row r="89" spans="1:64" ht="37.5" hidden="1" customHeight="1" outlineLevel="1">
      <c r="A89" s="34" t="str">
        <f t="shared" si="44"/>
        <v>バックアップ_MML_手術モジュール_カテゴリ名</v>
      </c>
      <c r="B89" s="153" t="str">
        <f t="shared" si="20"/>
        <v>01</v>
      </c>
      <c r="C89" s="154"/>
      <c r="D89" s="154"/>
      <c r="E89" s="154"/>
      <c r="F89" s="155"/>
      <c r="G89" s="156" t="s">
        <v>195</v>
      </c>
      <c r="H89" s="157"/>
      <c r="I89" s="157"/>
      <c r="J89" s="157"/>
      <c r="K89" s="157"/>
      <c r="L89" s="157"/>
      <c r="M89" s="157"/>
      <c r="N89" s="158"/>
      <c r="O89" s="77" t="s">
        <v>3205</v>
      </c>
      <c r="P89" s="146" t="s">
        <v>2923</v>
      </c>
      <c r="Q89" s="147"/>
      <c r="R89" s="147"/>
      <c r="S89" s="147"/>
      <c r="T89" s="147"/>
      <c r="U89" s="147"/>
      <c r="V89" s="147"/>
      <c r="W89" s="147"/>
      <c r="X89" s="147"/>
      <c r="Y89" s="147"/>
      <c r="Z89" s="147"/>
      <c r="AA89" s="147"/>
      <c r="AB89" s="147"/>
      <c r="AC89" s="147"/>
      <c r="AD89" s="148"/>
      <c r="AE89" s="142" t="str">
        <f t="shared" ca="1" si="45"/>
        <v>sgioy_202310_backup_text_mml_mmlsg_rd_category</v>
      </c>
      <c r="AF89" s="143"/>
      <c r="AG89" s="143"/>
      <c r="AH89" s="143"/>
      <c r="AI89" s="143"/>
      <c r="AJ89" s="143"/>
      <c r="AK89" s="143"/>
      <c r="AL89" s="144"/>
      <c r="AM89" s="142" t="str">
        <f t="shared" ca="1" si="46"/>
        <v>MML_手術モジュール_カテゴリ名テーブルから組入れ条件の第一条件で絞り込んだ結果を格納するテーブル</v>
      </c>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5"/>
      <c r="BK89" s="32" t="str">
        <f t="shared" si="43"/>
        <v>ENT_01_A6-46_バックアップ_MML_手術モジュール_カテゴリ名.sql</v>
      </c>
    </row>
    <row r="90" spans="1:64" ht="37.5" hidden="1" customHeight="1" outlineLevel="1">
      <c r="A90" s="34" t="str">
        <f t="shared" si="44"/>
        <v>バックアップ_MML_手術モジュール_手術法</v>
      </c>
      <c r="B90" s="153" t="str">
        <f t="shared" si="20"/>
        <v>01</v>
      </c>
      <c r="C90" s="154"/>
      <c r="D90" s="154"/>
      <c r="E90" s="154"/>
      <c r="F90" s="155"/>
      <c r="G90" s="156" t="s">
        <v>195</v>
      </c>
      <c r="H90" s="157"/>
      <c r="I90" s="157"/>
      <c r="J90" s="157"/>
      <c r="K90" s="157"/>
      <c r="L90" s="157"/>
      <c r="M90" s="157"/>
      <c r="N90" s="158"/>
      <c r="O90" s="77" t="s">
        <v>3206</v>
      </c>
      <c r="P90" s="146" t="s">
        <v>2924</v>
      </c>
      <c r="Q90" s="147"/>
      <c r="R90" s="147"/>
      <c r="S90" s="147"/>
      <c r="T90" s="147"/>
      <c r="U90" s="147"/>
      <c r="V90" s="147"/>
      <c r="W90" s="147"/>
      <c r="X90" s="147"/>
      <c r="Y90" s="147"/>
      <c r="Z90" s="147"/>
      <c r="AA90" s="147"/>
      <c r="AB90" s="147"/>
      <c r="AC90" s="147"/>
      <c r="AD90" s="148"/>
      <c r="AE90" s="142" t="str">
        <f t="shared" ca="1" si="45"/>
        <v>sgioy_202310_backup_text_mml_mmlsg_procedure_item</v>
      </c>
      <c r="AF90" s="143"/>
      <c r="AG90" s="143"/>
      <c r="AH90" s="143"/>
      <c r="AI90" s="143"/>
      <c r="AJ90" s="143"/>
      <c r="AK90" s="143"/>
      <c r="AL90" s="144"/>
      <c r="AM90" s="142" t="str">
        <f t="shared" ca="1" si="46"/>
        <v>MML_手術モジュール_手術法テーブルから組入れ条件の第一条件で絞り込んだ結果を格納するテーブル</v>
      </c>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5"/>
      <c r="BK90" s="32" t="str">
        <f t="shared" si="43"/>
        <v>ENT_01_A6-47_バックアップ_MML_手術モジュール_手術法.sql</v>
      </c>
    </row>
    <row r="91" spans="1:64" ht="37.5" hidden="1" customHeight="1" outlineLevel="1">
      <c r="A91" s="34" t="str">
        <f t="shared" si="44"/>
        <v>バックアップ_MML_手術モジュール_手術要素</v>
      </c>
      <c r="B91" s="153" t="str">
        <f t="shared" si="20"/>
        <v>01</v>
      </c>
      <c r="C91" s="154"/>
      <c r="D91" s="154"/>
      <c r="E91" s="154"/>
      <c r="F91" s="155"/>
      <c r="G91" s="156" t="s">
        <v>195</v>
      </c>
      <c r="H91" s="157"/>
      <c r="I91" s="157"/>
      <c r="J91" s="157"/>
      <c r="K91" s="157"/>
      <c r="L91" s="157"/>
      <c r="M91" s="157"/>
      <c r="N91" s="158"/>
      <c r="O91" s="77" t="s">
        <v>3207</v>
      </c>
      <c r="P91" s="146" t="s">
        <v>2933</v>
      </c>
      <c r="Q91" s="147"/>
      <c r="R91" s="147"/>
      <c r="S91" s="147"/>
      <c r="T91" s="147"/>
      <c r="U91" s="147"/>
      <c r="V91" s="147"/>
      <c r="W91" s="147"/>
      <c r="X91" s="147"/>
      <c r="Y91" s="147"/>
      <c r="Z91" s="147"/>
      <c r="AA91" s="147"/>
      <c r="AB91" s="147"/>
      <c r="AC91" s="147"/>
      <c r="AD91" s="148"/>
      <c r="AE91" s="142" t="str">
        <f t="shared" ca="1" si="45"/>
        <v>sgioy_202310_backup_text_mml_mmlsg_operation_element</v>
      </c>
      <c r="AF91" s="143"/>
      <c r="AG91" s="143"/>
      <c r="AH91" s="143"/>
      <c r="AI91" s="143"/>
      <c r="AJ91" s="143"/>
      <c r="AK91" s="143"/>
      <c r="AL91" s="144"/>
      <c r="AM91" s="142" t="str">
        <f t="shared" ca="1" si="46"/>
        <v>MML_手術モジュール_手術要素テーブルから組入れ条件の第一条件で絞り込んだ結果を格納するテーブル</v>
      </c>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5"/>
      <c r="BK91" s="32" t="str">
        <f t="shared" si="43"/>
        <v>ENT_01_A6-48_バックアップ_MML_手術モジュール_手術要素.sql</v>
      </c>
    </row>
    <row r="92" spans="1:64" ht="37.5" hidden="1" customHeight="1" outlineLevel="1">
      <c r="A92" s="34" t="str">
        <f t="shared" si="44"/>
        <v>バックアップ_MML_手術モジュール_麻酔法</v>
      </c>
      <c r="B92" s="153" t="str">
        <f t="shared" si="20"/>
        <v>01</v>
      </c>
      <c r="C92" s="154"/>
      <c r="D92" s="154"/>
      <c r="E92" s="154"/>
      <c r="F92" s="155"/>
      <c r="G92" s="156" t="s">
        <v>195</v>
      </c>
      <c r="H92" s="157"/>
      <c r="I92" s="157"/>
      <c r="J92" s="157"/>
      <c r="K92" s="157"/>
      <c r="L92" s="157"/>
      <c r="M92" s="157"/>
      <c r="N92" s="158"/>
      <c r="O92" s="77" t="s">
        <v>3208</v>
      </c>
      <c r="P92" s="146" t="s">
        <v>2937</v>
      </c>
      <c r="Q92" s="147"/>
      <c r="R92" s="147"/>
      <c r="S92" s="147"/>
      <c r="T92" s="147"/>
      <c r="U92" s="147"/>
      <c r="V92" s="147"/>
      <c r="W92" s="147"/>
      <c r="X92" s="147"/>
      <c r="Y92" s="147"/>
      <c r="Z92" s="147"/>
      <c r="AA92" s="147"/>
      <c r="AB92" s="147"/>
      <c r="AC92" s="147"/>
      <c r="AD92" s="148"/>
      <c r="AE92" s="142" t="str">
        <f t="shared" ca="1" si="45"/>
        <v>sgioy_202310_backup_text_mml_mmlsg_anesthesia_procedure</v>
      </c>
      <c r="AF92" s="143"/>
      <c r="AG92" s="143"/>
      <c r="AH92" s="143"/>
      <c r="AI92" s="143"/>
      <c r="AJ92" s="143"/>
      <c r="AK92" s="143"/>
      <c r="AL92" s="144"/>
      <c r="AM92" s="142" t="str">
        <f t="shared" ca="1" si="46"/>
        <v>MML_手術モジュール_麻酔法テーブルから組入れ条件の第一条件で絞り込んだ結果を格納するテーブル</v>
      </c>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5"/>
      <c r="BK92" s="32" t="str">
        <f t="shared" si="43"/>
        <v>ENT_01_A6-49_バックアップ_MML_手術モジュール_麻酔法.sql</v>
      </c>
    </row>
    <row r="93" spans="1:64" ht="37.5" hidden="1" customHeight="1" outlineLevel="1">
      <c r="A93" s="34" t="str">
        <f t="shared" si="36"/>
        <v>バックアップ_MML_報告書情報モジュール_本文</v>
      </c>
      <c r="B93" s="153" t="str">
        <f t="shared" si="20"/>
        <v>01</v>
      </c>
      <c r="C93" s="154"/>
      <c r="D93" s="154"/>
      <c r="E93" s="154"/>
      <c r="F93" s="155"/>
      <c r="G93" s="156" t="s">
        <v>195</v>
      </c>
      <c r="H93" s="157"/>
      <c r="I93" s="157"/>
      <c r="J93" s="157"/>
      <c r="K93" s="157"/>
      <c r="L93" s="157"/>
      <c r="M93" s="157"/>
      <c r="N93" s="158"/>
      <c r="O93" s="77" t="s">
        <v>3209</v>
      </c>
      <c r="P93" s="146" t="s">
        <v>2944</v>
      </c>
      <c r="Q93" s="147"/>
      <c r="R93" s="147"/>
      <c r="S93" s="147"/>
      <c r="T93" s="147"/>
      <c r="U93" s="147"/>
      <c r="V93" s="147"/>
      <c r="W93" s="147"/>
      <c r="X93" s="147"/>
      <c r="Y93" s="147"/>
      <c r="Z93" s="147"/>
      <c r="AA93" s="147"/>
      <c r="AB93" s="147"/>
      <c r="AC93" s="147"/>
      <c r="AD93" s="148"/>
      <c r="AE93" s="142" t="str">
        <f t="shared" ca="1" si="37"/>
        <v>sgioy_202310_backup_text_mml_mmlrp_body</v>
      </c>
      <c r="AF93" s="143"/>
      <c r="AG93" s="143"/>
      <c r="AH93" s="143"/>
      <c r="AI93" s="143"/>
      <c r="AJ93" s="143"/>
      <c r="AK93" s="143"/>
      <c r="AL93" s="144"/>
      <c r="AM93" s="142" t="str">
        <f t="shared" ca="1" si="38"/>
        <v>MML_報告書情報モジュール_本文テーブルから組入れ条件の第一条件で絞り込んだ結果を格納するテーブル</v>
      </c>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5"/>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53" t="str">
        <f t="shared" si="20"/>
        <v>01</v>
      </c>
      <c r="C94" s="154"/>
      <c r="D94" s="154"/>
      <c r="E94" s="154"/>
      <c r="F94" s="155"/>
      <c r="G94" s="156" t="s">
        <v>195</v>
      </c>
      <c r="H94" s="157"/>
      <c r="I94" s="157"/>
      <c r="J94" s="157"/>
      <c r="K94" s="157"/>
      <c r="L94" s="157"/>
      <c r="M94" s="157"/>
      <c r="N94" s="158"/>
      <c r="O94" s="77" t="s">
        <v>3210</v>
      </c>
      <c r="P94" s="146" t="s">
        <v>3002</v>
      </c>
      <c r="Q94" s="147"/>
      <c r="R94" s="147"/>
      <c r="S94" s="147"/>
      <c r="T94" s="147"/>
      <c r="U94" s="147"/>
      <c r="V94" s="147"/>
      <c r="W94" s="147"/>
      <c r="X94" s="147"/>
      <c r="Y94" s="147"/>
      <c r="Z94" s="147"/>
      <c r="AA94" s="147"/>
      <c r="AB94" s="147"/>
      <c r="AC94" s="147"/>
      <c r="AD94" s="148"/>
      <c r="AE94" s="142" t="str">
        <f t="shared" ca="1" si="37"/>
        <v>sgioy_202310_backup_text_mml_mmlrp_test_memo</v>
      </c>
      <c r="AF94" s="143"/>
      <c r="AG94" s="143"/>
      <c r="AH94" s="143"/>
      <c r="AI94" s="143"/>
      <c r="AJ94" s="143"/>
      <c r="AK94" s="143"/>
      <c r="AL94" s="144"/>
      <c r="AM94" s="142" t="str">
        <f t="shared" ca="1" si="38"/>
        <v>MML_報告書情報モジュール_検査コメントテーブルから組入れ条件の第一条件で絞り込んだ結果を格納するテーブル</v>
      </c>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5"/>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53" t="str">
        <f t="shared" si="20"/>
        <v>01</v>
      </c>
      <c r="C95" s="154"/>
      <c r="D95" s="154"/>
      <c r="E95" s="154"/>
      <c r="F95" s="155"/>
      <c r="G95" s="156" t="s">
        <v>195</v>
      </c>
      <c r="H95" s="157"/>
      <c r="I95" s="157"/>
      <c r="J95" s="157"/>
      <c r="K95" s="157"/>
      <c r="L95" s="157"/>
      <c r="M95" s="157"/>
      <c r="N95" s="158"/>
      <c r="O95" s="77" t="s">
        <v>3211</v>
      </c>
      <c r="P95" s="146" t="s">
        <v>3223</v>
      </c>
      <c r="Q95" s="147"/>
      <c r="R95" s="147"/>
      <c r="S95" s="147"/>
      <c r="T95" s="147"/>
      <c r="U95" s="147"/>
      <c r="V95" s="147"/>
      <c r="W95" s="147"/>
      <c r="X95" s="147"/>
      <c r="Y95" s="147"/>
      <c r="Z95" s="147"/>
      <c r="AA95" s="147"/>
      <c r="AB95" s="147"/>
      <c r="AC95" s="147"/>
      <c r="AD95" s="148"/>
      <c r="AE95" s="142" t="str">
        <f t="shared" ref="AE95:AE103" ca="1" si="48">IFERROR(INDIRECT(P95&amp;"!D8"),"")</f>
        <v>sgioy_202310_backup_text_mml_mmlls_body</v>
      </c>
      <c r="AF95" s="143"/>
      <c r="AG95" s="143"/>
      <c r="AH95" s="143"/>
      <c r="AI95" s="143"/>
      <c r="AJ95" s="143"/>
      <c r="AK95" s="143"/>
      <c r="AL95" s="144"/>
      <c r="AM95" s="142" t="str">
        <f t="shared" ref="AM95:AM103" ca="1" si="49">IFERROR(INDIRECT(P95&amp;"!D9"),"")</f>
        <v>MML_生活習慣情報モジュール_本文テーブルから組入れ条件の第一条件で絞り込んだ結果を格納するテーブル</v>
      </c>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5"/>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53" t="str">
        <f t="shared" si="20"/>
        <v>01</v>
      </c>
      <c r="C96" s="154"/>
      <c r="D96" s="154"/>
      <c r="E96" s="154"/>
      <c r="F96" s="155"/>
      <c r="G96" s="156" t="s">
        <v>195</v>
      </c>
      <c r="H96" s="157"/>
      <c r="I96" s="157"/>
      <c r="J96" s="157"/>
      <c r="K96" s="157"/>
      <c r="L96" s="157"/>
      <c r="M96" s="157"/>
      <c r="N96" s="158"/>
      <c r="O96" s="77" t="s">
        <v>3212</v>
      </c>
      <c r="P96" s="146" t="s">
        <v>3013</v>
      </c>
      <c r="Q96" s="147"/>
      <c r="R96" s="147"/>
      <c r="S96" s="147"/>
      <c r="T96" s="147"/>
      <c r="U96" s="147"/>
      <c r="V96" s="147"/>
      <c r="W96" s="147"/>
      <c r="X96" s="147"/>
      <c r="Y96" s="147"/>
      <c r="Z96" s="147"/>
      <c r="AA96" s="147"/>
      <c r="AB96" s="147"/>
      <c r="AC96" s="147"/>
      <c r="AD96" s="148"/>
      <c r="AE96" s="142" t="str">
        <f t="shared" ref="AE96" ca="1" si="51">IFERROR(INDIRECT(P96&amp;"!D8"),"")</f>
        <v>sgioy_202310_backup_text_mml_mmlre_body</v>
      </c>
      <c r="AF96" s="143"/>
      <c r="AG96" s="143"/>
      <c r="AH96" s="143"/>
      <c r="AI96" s="143"/>
      <c r="AJ96" s="143"/>
      <c r="AK96" s="143"/>
      <c r="AL96" s="144"/>
      <c r="AM96" s="142" t="str">
        <f t="shared" ref="AM96" ca="1" si="52">IFERROR(INDIRECT(P96&amp;"!D9"),"")</f>
        <v>MML_紹介状モジュール_本文テーブルから組入れ条件の第一条件で絞り込んだ結果を格納するテーブル</v>
      </c>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5"/>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53" t="str">
        <f t="shared" si="20"/>
        <v>01</v>
      </c>
      <c r="C97" s="154"/>
      <c r="D97" s="154"/>
      <c r="E97" s="154"/>
      <c r="F97" s="155"/>
      <c r="G97" s="156" t="s">
        <v>195</v>
      </c>
      <c r="H97" s="157"/>
      <c r="I97" s="157"/>
      <c r="J97" s="157"/>
      <c r="K97" s="157"/>
      <c r="L97" s="157"/>
      <c r="M97" s="157"/>
      <c r="N97" s="158"/>
      <c r="O97" s="77" t="s">
        <v>3213</v>
      </c>
      <c r="P97" s="146" t="s">
        <v>3042</v>
      </c>
      <c r="Q97" s="147"/>
      <c r="R97" s="147"/>
      <c r="S97" s="147"/>
      <c r="T97" s="147"/>
      <c r="U97" s="147"/>
      <c r="V97" s="147"/>
      <c r="W97" s="147"/>
      <c r="X97" s="147"/>
      <c r="Y97" s="147"/>
      <c r="Z97" s="147"/>
      <c r="AA97" s="147"/>
      <c r="AB97" s="147"/>
      <c r="AC97" s="147"/>
      <c r="AD97" s="148"/>
      <c r="AE97" s="142" t="str">
        <f t="shared" ref="AE97" ca="1" si="54">IFERROR(INDIRECT(P97&amp;"!D8"),"")</f>
        <v>sgioy_202310_backup_text_mml_mmlre_inj</v>
      </c>
      <c r="AF97" s="143"/>
      <c r="AG97" s="143"/>
      <c r="AH97" s="143"/>
      <c r="AI97" s="143"/>
      <c r="AJ97" s="143"/>
      <c r="AK97" s="143"/>
      <c r="AL97" s="144"/>
      <c r="AM97" s="142" t="str">
        <f t="shared" ref="AM97" ca="1" si="55">IFERROR(INDIRECT(P97&amp;"!D9"),"")</f>
        <v>MML_紹介状モジュール_注射記録テーブルから組入れ条件の第一条件で絞り込んだ結果を格納するテーブル</v>
      </c>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5"/>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53" t="str">
        <f t="shared" si="20"/>
        <v>01</v>
      </c>
      <c r="C98" s="154"/>
      <c r="D98" s="154"/>
      <c r="E98" s="154"/>
      <c r="F98" s="155"/>
      <c r="G98" s="156" t="s">
        <v>195</v>
      </c>
      <c r="H98" s="157"/>
      <c r="I98" s="157"/>
      <c r="J98" s="157"/>
      <c r="K98" s="157"/>
      <c r="L98" s="157"/>
      <c r="M98" s="157"/>
      <c r="N98" s="158"/>
      <c r="O98" s="77" t="s">
        <v>3214</v>
      </c>
      <c r="P98" s="146" t="s">
        <v>3043</v>
      </c>
      <c r="Q98" s="147"/>
      <c r="R98" s="147"/>
      <c r="S98" s="147"/>
      <c r="T98" s="147"/>
      <c r="U98" s="147"/>
      <c r="V98" s="147"/>
      <c r="W98" s="147"/>
      <c r="X98" s="147"/>
      <c r="Y98" s="147"/>
      <c r="Z98" s="147"/>
      <c r="AA98" s="147"/>
      <c r="AB98" s="147"/>
      <c r="AC98" s="147"/>
      <c r="AD98" s="148"/>
      <c r="AE98" s="142" t="str">
        <f t="shared" ca="1" si="48"/>
        <v>sgioy_202310_backup_text_mml_mmlre_inj_medication</v>
      </c>
      <c r="AF98" s="143"/>
      <c r="AG98" s="143"/>
      <c r="AH98" s="143"/>
      <c r="AI98" s="143"/>
      <c r="AJ98" s="143"/>
      <c r="AK98" s="143"/>
      <c r="AL98" s="144"/>
      <c r="AM98" s="142" t="str">
        <f t="shared" ca="1" si="49"/>
        <v>MML_紹介状モジュール_注射記録投薬テーブルから組入れ条件の第一条件で絞り込んだ結果を格納するテーブル</v>
      </c>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5"/>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53" t="str">
        <f t="shared" si="20"/>
        <v>01</v>
      </c>
      <c r="C99" s="154"/>
      <c r="D99" s="154"/>
      <c r="E99" s="154"/>
      <c r="F99" s="155"/>
      <c r="G99" s="156" t="s">
        <v>195</v>
      </c>
      <c r="H99" s="157"/>
      <c r="I99" s="157"/>
      <c r="J99" s="157"/>
      <c r="K99" s="157"/>
      <c r="L99" s="157"/>
      <c r="M99" s="157"/>
      <c r="N99" s="158"/>
      <c r="O99" s="77" t="s">
        <v>3215</v>
      </c>
      <c r="P99" s="146" t="s">
        <v>3046</v>
      </c>
      <c r="Q99" s="147"/>
      <c r="R99" s="147"/>
      <c r="S99" s="147"/>
      <c r="T99" s="147"/>
      <c r="U99" s="147"/>
      <c r="V99" s="147"/>
      <c r="W99" s="147"/>
      <c r="X99" s="147"/>
      <c r="Y99" s="147"/>
      <c r="Z99" s="147"/>
      <c r="AA99" s="147"/>
      <c r="AB99" s="147"/>
      <c r="AC99" s="147"/>
      <c r="AD99" s="148"/>
      <c r="AE99" s="142" t="str">
        <f t="shared" ca="1" si="48"/>
        <v>sgioy_202310_backup_text_mml_mmlre_inj_medicine</v>
      </c>
      <c r="AF99" s="143"/>
      <c r="AG99" s="143"/>
      <c r="AH99" s="143"/>
      <c r="AI99" s="143"/>
      <c r="AJ99" s="143"/>
      <c r="AK99" s="143"/>
      <c r="AL99" s="144"/>
      <c r="AM99" s="142" t="str">
        <f t="shared" ca="1" si="49"/>
        <v>MML_紹介状モジュール_注射記録薬剤テーブルから組入れ条件の第一条件で絞り込んだ結果を格納するテーブル</v>
      </c>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5"/>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53" t="str">
        <f t="shared" si="20"/>
        <v>01</v>
      </c>
      <c r="C100" s="154"/>
      <c r="D100" s="154"/>
      <c r="E100" s="154"/>
      <c r="F100" s="155"/>
      <c r="G100" s="156" t="s">
        <v>195</v>
      </c>
      <c r="H100" s="157"/>
      <c r="I100" s="157"/>
      <c r="J100" s="157"/>
      <c r="K100" s="157"/>
      <c r="L100" s="157"/>
      <c r="M100" s="157"/>
      <c r="N100" s="158"/>
      <c r="O100" s="77" t="s">
        <v>3216</v>
      </c>
      <c r="P100" s="146" t="s">
        <v>3047</v>
      </c>
      <c r="Q100" s="147"/>
      <c r="R100" s="147"/>
      <c r="S100" s="147"/>
      <c r="T100" s="147"/>
      <c r="U100" s="147"/>
      <c r="V100" s="147"/>
      <c r="W100" s="147"/>
      <c r="X100" s="147"/>
      <c r="Y100" s="147"/>
      <c r="Z100" s="147"/>
      <c r="AA100" s="147"/>
      <c r="AB100" s="147"/>
      <c r="AC100" s="147"/>
      <c r="AD100" s="148"/>
      <c r="AE100" s="142" t="str">
        <f t="shared" ca="1" si="48"/>
        <v>sgioy_202310_backup_text_mml_mmlre_pi</v>
      </c>
      <c r="AF100" s="143"/>
      <c r="AG100" s="143"/>
      <c r="AH100" s="143"/>
      <c r="AI100" s="143"/>
      <c r="AJ100" s="143"/>
      <c r="AK100" s="143"/>
      <c r="AL100" s="144"/>
      <c r="AM100" s="142" t="str">
        <f t="shared" ca="1" si="49"/>
        <v>MML_紹介状モジュール_患者情報テーブルから組入れ条件の第一条件で絞り込んだ結果を格納するテーブル</v>
      </c>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5"/>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53" t="str">
        <f t="shared" si="20"/>
        <v>01</v>
      </c>
      <c r="C101" s="154"/>
      <c r="D101" s="154"/>
      <c r="E101" s="154"/>
      <c r="F101" s="155"/>
      <c r="G101" s="156" t="s">
        <v>195</v>
      </c>
      <c r="H101" s="157"/>
      <c r="I101" s="157"/>
      <c r="J101" s="157"/>
      <c r="K101" s="157"/>
      <c r="L101" s="157"/>
      <c r="M101" s="157"/>
      <c r="N101" s="158"/>
      <c r="O101" s="77" t="s">
        <v>3217</v>
      </c>
      <c r="P101" s="146" t="s">
        <v>3057</v>
      </c>
      <c r="Q101" s="147"/>
      <c r="R101" s="147"/>
      <c r="S101" s="147"/>
      <c r="T101" s="147"/>
      <c r="U101" s="147"/>
      <c r="V101" s="147"/>
      <c r="W101" s="147"/>
      <c r="X101" s="147"/>
      <c r="Y101" s="147"/>
      <c r="Z101" s="147"/>
      <c r="AA101" s="147"/>
      <c r="AB101" s="147"/>
      <c r="AC101" s="147"/>
      <c r="AD101" s="148"/>
      <c r="AE101" s="142" t="str">
        <f t="shared" ca="1" si="48"/>
        <v>sgioy_202310_backup_text_mml_mmlre_pi_address</v>
      </c>
      <c r="AF101" s="143"/>
      <c r="AG101" s="143"/>
      <c r="AH101" s="143"/>
      <c r="AI101" s="143"/>
      <c r="AJ101" s="143"/>
      <c r="AK101" s="143"/>
      <c r="AL101" s="144"/>
      <c r="AM101" s="142" t="str">
        <f t="shared" ca="1" si="49"/>
        <v>MML_紹介状モジュール_患者情報住所テーブルから組入れ条件の第一条件で絞り込んだ結果を格納するテーブル</v>
      </c>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5"/>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53" t="str">
        <f t="shared" si="20"/>
        <v>01</v>
      </c>
      <c r="C102" s="154"/>
      <c r="D102" s="154"/>
      <c r="E102" s="154"/>
      <c r="F102" s="155"/>
      <c r="G102" s="156" t="s">
        <v>195</v>
      </c>
      <c r="H102" s="157"/>
      <c r="I102" s="157"/>
      <c r="J102" s="157"/>
      <c r="K102" s="157"/>
      <c r="L102" s="157"/>
      <c r="M102" s="157"/>
      <c r="N102" s="158"/>
      <c r="O102" s="77" t="s">
        <v>3218</v>
      </c>
      <c r="P102" s="146" t="s">
        <v>3075</v>
      </c>
      <c r="Q102" s="147"/>
      <c r="R102" s="147"/>
      <c r="S102" s="147"/>
      <c r="T102" s="147"/>
      <c r="U102" s="147"/>
      <c r="V102" s="147"/>
      <c r="W102" s="147"/>
      <c r="X102" s="147"/>
      <c r="Y102" s="147"/>
      <c r="Z102" s="147"/>
      <c r="AA102" s="147"/>
      <c r="AB102" s="147"/>
      <c r="AC102" s="147"/>
      <c r="AD102" s="148"/>
      <c r="AE102" s="142" t="str">
        <f t="shared" ca="1" si="48"/>
        <v>sgioy_202310_backup_text_mml_mmlre_ps</v>
      </c>
      <c r="AF102" s="143"/>
      <c r="AG102" s="143"/>
      <c r="AH102" s="143"/>
      <c r="AI102" s="143"/>
      <c r="AJ102" s="143"/>
      <c r="AK102" s="143"/>
      <c r="AL102" s="144"/>
      <c r="AM102" s="142" t="str">
        <f t="shared" ca="1" si="49"/>
        <v>MML_紹介状モジュール_処方箋テーブルから組入れ条件の第一条件で絞り込んだ結果を格納するテーブル</v>
      </c>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5"/>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53" t="str">
        <f t="shared" si="20"/>
        <v>01</v>
      </c>
      <c r="C103" s="154"/>
      <c r="D103" s="154"/>
      <c r="E103" s="154"/>
      <c r="F103" s="155"/>
      <c r="G103" s="156" t="s">
        <v>195</v>
      </c>
      <c r="H103" s="157"/>
      <c r="I103" s="157"/>
      <c r="J103" s="157"/>
      <c r="K103" s="157"/>
      <c r="L103" s="157"/>
      <c r="M103" s="157"/>
      <c r="N103" s="158"/>
      <c r="O103" s="77" t="s">
        <v>3219</v>
      </c>
      <c r="P103" s="146" t="s">
        <v>3076</v>
      </c>
      <c r="Q103" s="147"/>
      <c r="R103" s="147"/>
      <c r="S103" s="147"/>
      <c r="T103" s="147"/>
      <c r="U103" s="147"/>
      <c r="V103" s="147"/>
      <c r="W103" s="147"/>
      <c r="X103" s="147"/>
      <c r="Y103" s="147"/>
      <c r="Z103" s="147"/>
      <c r="AA103" s="147"/>
      <c r="AB103" s="147"/>
      <c r="AC103" s="147"/>
      <c r="AD103" s="148"/>
      <c r="AE103" s="142" t="str">
        <f t="shared" ca="1" si="48"/>
        <v>sgioy_202310_backup_text_mml_mmlre_ps_medication</v>
      </c>
      <c r="AF103" s="143"/>
      <c r="AG103" s="143"/>
      <c r="AH103" s="143"/>
      <c r="AI103" s="143"/>
      <c r="AJ103" s="143"/>
      <c r="AK103" s="143"/>
      <c r="AL103" s="144"/>
      <c r="AM103" s="142" t="str">
        <f t="shared" ca="1" si="49"/>
        <v>MML_紹介状モジュール_処方箋投薬テーブルから組入れ条件の第一条件で絞り込んだ結果を格納するテーブル</v>
      </c>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5"/>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53" t="str">
        <f t="shared" si="20"/>
        <v>01</v>
      </c>
      <c r="C104" s="154"/>
      <c r="D104" s="154"/>
      <c r="E104" s="154"/>
      <c r="F104" s="155"/>
      <c r="G104" s="156" t="s">
        <v>195</v>
      </c>
      <c r="H104" s="157"/>
      <c r="I104" s="157"/>
      <c r="J104" s="157"/>
      <c r="K104" s="157"/>
      <c r="L104" s="157"/>
      <c r="M104" s="157"/>
      <c r="N104" s="158"/>
      <c r="O104" s="77" t="s">
        <v>3220</v>
      </c>
      <c r="P104" s="146" t="s">
        <v>3077</v>
      </c>
      <c r="Q104" s="147"/>
      <c r="R104" s="147"/>
      <c r="S104" s="147"/>
      <c r="T104" s="147"/>
      <c r="U104" s="147"/>
      <c r="V104" s="147"/>
      <c r="W104" s="147"/>
      <c r="X104" s="147"/>
      <c r="Y104" s="147"/>
      <c r="Z104" s="147"/>
      <c r="AA104" s="147"/>
      <c r="AB104" s="147"/>
      <c r="AC104" s="147"/>
      <c r="AD104" s="148"/>
      <c r="AE104" s="142" t="str">
        <f t="shared" ca="1" si="37"/>
        <v>sgioy_202310_backup_text_mml_mmlre_ps_medicine</v>
      </c>
      <c r="AF104" s="143"/>
      <c r="AG104" s="143"/>
      <c r="AH104" s="143"/>
      <c r="AI104" s="143"/>
      <c r="AJ104" s="143"/>
      <c r="AK104" s="143"/>
      <c r="AL104" s="144"/>
      <c r="AM104" s="142" t="str">
        <f t="shared" ca="1" si="38"/>
        <v>MML_紹介状モジュール_処方箋薬剤テーブルから組入れ条件の第一条件で絞り込んだ結果を格納するテーブル</v>
      </c>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5"/>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53" t="str">
        <f t="shared" si="20"/>
        <v>01</v>
      </c>
      <c r="C105" s="154"/>
      <c r="D105" s="154"/>
      <c r="E105" s="154"/>
      <c r="F105" s="155"/>
      <c r="G105" s="156" t="s">
        <v>195</v>
      </c>
      <c r="H105" s="157"/>
      <c r="I105" s="157"/>
      <c r="J105" s="157"/>
      <c r="K105" s="157"/>
      <c r="L105" s="157"/>
      <c r="M105" s="157"/>
      <c r="N105" s="158"/>
      <c r="O105" s="77" t="s">
        <v>3221</v>
      </c>
      <c r="P105" s="146" t="s">
        <v>3078</v>
      </c>
      <c r="Q105" s="147"/>
      <c r="R105" s="147"/>
      <c r="S105" s="147"/>
      <c r="T105" s="147"/>
      <c r="U105" s="147"/>
      <c r="V105" s="147"/>
      <c r="W105" s="147"/>
      <c r="X105" s="147"/>
      <c r="Y105" s="147"/>
      <c r="Z105" s="147"/>
      <c r="AA105" s="147"/>
      <c r="AB105" s="147"/>
      <c r="AC105" s="147"/>
      <c r="AD105" s="148"/>
      <c r="AE105" s="142" t="s">
        <v>3087</v>
      </c>
      <c r="AF105" s="143"/>
      <c r="AG105" s="143"/>
      <c r="AH105" s="143"/>
      <c r="AI105" s="143"/>
      <c r="AJ105" s="143"/>
      <c r="AK105" s="143"/>
      <c r="AL105" s="144"/>
      <c r="AM105" s="142" t="s">
        <v>3088</v>
      </c>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5"/>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53" t="str">
        <f t="shared" si="20"/>
        <v>01</v>
      </c>
      <c r="C106" s="154"/>
      <c r="D106" s="154"/>
      <c r="E106" s="154"/>
      <c r="F106" s="155"/>
      <c r="G106" s="156" t="s">
        <v>195</v>
      </c>
      <c r="H106" s="157"/>
      <c r="I106" s="157"/>
      <c r="J106" s="157"/>
      <c r="K106" s="157"/>
      <c r="L106" s="157"/>
      <c r="M106" s="157"/>
      <c r="N106" s="158"/>
      <c r="O106" s="77" t="s">
        <v>3222</v>
      </c>
      <c r="P106" s="146" t="s">
        <v>3089</v>
      </c>
      <c r="Q106" s="147"/>
      <c r="R106" s="147"/>
      <c r="S106" s="147"/>
      <c r="T106" s="147"/>
      <c r="U106" s="147"/>
      <c r="V106" s="147"/>
      <c r="W106" s="147"/>
      <c r="X106" s="147"/>
      <c r="Y106" s="147"/>
      <c r="Z106" s="147"/>
      <c r="AA106" s="147"/>
      <c r="AB106" s="147"/>
      <c r="AC106" s="147"/>
      <c r="AD106" s="148"/>
      <c r="AE106" s="142" t="str">
        <f t="shared" ref="AE106" ca="1" si="58">IFERROR(INDIRECT(P106&amp;"!D8"),"")</f>
        <v>sgioy_202310_backup_text_mml_mmlre_dp</v>
      </c>
      <c r="AF106" s="143"/>
      <c r="AG106" s="143"/>
      <c r="AH106" s="143"/>
      <c r="AI106" s="143"/>
      <c r="AJ106" s="143"/>
      <c r="AK106" s="143"/>
      <c r="AL106" s="144"/>
      <c r="AM106" s="142" t="str">
        <f t="shared" ref="AM106" ca="1" si="59">IFERROR(INDIRECT(P106&amp;"!D9"),"")</f>
        <v>MML_紹介状モジュール_診療科情報テーブルから組入れ条件の第一条件で絞り込んだ結果を格納するテーブル</v>
      </c>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5"/>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53" t="str">
        <f>TEXT(1,"00")</f>
        <v>01</v>
      </c>
      <c r="C107" s="154"/>
      <c r="D107" s="154"/>
      <c r="E107" s="154"/>
      <c r="F107" s="155"/>
      <c r="G107" s="156" t="s">
        <v>195</v>
      </c>
      <c r="H107" s="157"/>
      <c r="I107" s="157"/>
      <c r="J107" s="157"/>
      <c r="K107" s="157"/>
      <c r="L107" s="157"/>
      <c r="M107" s="157"/>
      <c r="N107" s="158"/>
      <c r="O107" s="88" t="s">
        <v>3090</v>
      </c>
      <c r="P107" s="159" t="s">
        <v>190</v>
      </c>
      <c r="Q107" s="160"/>
      <c r="R107" s="160"/>
      <c r="S107" s="160"/>
      <c r="T107" s="160"/>
      <c r="U107" s="160"/>
      <c r="V107" s="160"/>
      <c r="W107" s="160"/>
      <c r="X107" s="160"/>
      <c r="Y107" s="160"/>
      <c r="Z107" s="160"/>
      <c r="AA107" s="160"/>
      <c r="AB107" s="160"/>
      <c r="AC107" s="160"/>
      <c r="AD107" s="161"/>
      <c r="AE107" s="149" t="str">
        <f t="shared" ref="AE107:AE112" ca="1" si="61">IFERROR(INDIRECT(P107&amp;"!D8"),"")</f>
        <v>sgioy_202310_backup_merge_dpc_dn</v>
      </c>
      <c r="AF107" s="150"/>
      <c r="AG107" s="150"/>
      <c r="AH107" s="150"/>
      <c r="AI107" s="150"/>
      <c r="AJ107" s="150"/>
      <c r="AK107" s="150"/>
      <c r="AL107" s="151"/>
      <c r="AM107" s="149" t="str">
        <f t="shared" ref="AM107:AM112" ca="1" si="62">IFERROR(INDIRECT(P107&amp;"!D9"),"")</f>
        <v>DPC調査データ_Dファイルテーブルから組入れ条件の第一条件で絞り込んだ結果を格納するテーブル</v>
      </c>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2"/>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53" t="str">
        <f>TEXT(1,"00")</f>
        <v>01</v>
      </c>
      <c r="C108" s="154"/>
      <c r="D108" s="154"/>
      <c r="E108" s="154"/>
      <c r="F108" s="155"/>
      <c r="G108" s="156" t="s">
        <v>195</v>
      </c>
      <c r="H108" s="157"/>
      <c r="I108" s="157"/>
      <c r="J108" s="157"/>
      <c r="K108" s="157"/>
      <c r="L108" s="157"/>
      <c r="M108" s="157"/>
      <c r="N108" s="158"/>
      <c r="O108" s="77" t="s">
        <v>3091</v>
      </c>
      <c r="P108" s="146" t="s">
        <v>191</v>
      </c>
      <c r="Q108" s="147"/>
      <c r="R108" s="147"/>
      <c r="S108" s="147"/>
      <c r="T108" s="147"/>
      <c r="U108" s="147"/>
      <c r="V108" s="147"/>
      <c r="W108" s="147"/>
      <c r="X108" s="147"/>
      <c r="Y108" s="147"/>
      <c r="Z108" s="147"/>
      <c r="AA108" s="147"/>
      <c r="AB108" s="147"/>
      <c r="AC108" s="147"/>
      <c r="AD108" s="148"/>
      <c r="AE108" s="142" t="str">
        <f t="shared" ca="1" si="61"/>
        <v>sgioy_202310_backup_merge_dpc_efn</v>
      </c>
      <c r="AF108" s="143"/>
      <c r="AG108" s="143"/>
      <c r="AH108" s="143"/>
      <c r="AI108" s="143"/>
      <c r="AJ108" s="143"/>
      <c r="AK108" s="143"/>
      <c r="AL108" s="144"/>
      <c r="AM108" s="142" t="str">
        <f t="shared" ca="1" si="62"/>
        <v>DPC調査データ_入院EF統合ファイルテーブルから組入れ条件の第一条件で絞り込んだ結果を格納するテーブル</v>
      </c>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5"/>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53" t="str">
        <f t="shared" ref="B109:B112" si="64">TEXT(1,"00")</f>
        <v>01</v>
      </c>
      <c r="C109" s="154"/>
      <c r="D109" s="154"/>
      <c r="E109" s="154"/>
      <c r="F109" s="155"/>
      <c r="G109" s="156" t="s">
        <v>195</v>
      </c>
      <c r="H109" s="157"/>
      <c r="I109" s="157"/>
      <c r="J109" s="157"/>
      <c r="K109" s="157"/>
      <c r="L109" s="157"/>
      <c r="M109" s="157"/>
      <c r="N109" s="158"/>
      <c r="O109" s="77" t="s">
        <v>3092</v>
      </c>
      <c r="P109" s="146" t="s">
        <v>192</v>
      </c>
      <c r="Q109" s="147"/>
      <c r="R109" s="147"/>
      <c r="S109" s="147"/>
      <c r="T109" s="147"/>
      <c r="U109" s="147"/>
      <c r="V109" s="147"/>
      <c r="W109" s="147"/>
      <c r="X109" s="147"/>
      <c r="Y109" s="147"/>
      <c r="Z109" s="147"/>
      <c r="AA109" s="147"/>
      <c r="AB109" s="147"/>
      <c r="AC109" s="147"/>
      <c r="AD109" s="148"/>
      <c r="AE109" s="142" t="str">
        <f t="shared" ca="1" si="61"/>
        <v>sgioy_202310_backup_merge_dpc_efg</v>
      </c>
      <c r="AF109" s="143"/>
      <c r="AG109" s="143"/>
      <c r="AH109" s="143"/>
      <c r="AI109" s="143"/>
      <c r="AJ109" s="143"/>
      <c r="AK109" s="143"/>
      <c r="AL109" s="144"/>
      <c r="AM109" s="142" t="str">
        <f t="shared" ca="1" si="62"/>
        <v>DPC調査データ_外来EF統合ファイルテーブルから組入れ条件の第一条件で絞り込んだ結果を格納するテーブル</v>
      </c>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5"/>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53" t="str">
        <f t="shared" si="64"/>
        <v>01</v>
      </c>
      <c r="C110" s="154"/>
      <c r="D110" s="154"/>
      <c r="E110" s="154"/>
      <c r="F110" s="155"/>
      <c r="G110" s="156" t="s">
        <v>195</v>
      </c>
      <c r="H110" s="157"/>
      <c r="I110" s="157"/>
      <c r="J110" s="157"/>
      <c r="K110" s="157"/>
      <c r="L110" s="157"/>
      <c r="M110" s="157"/>
      <c r="N110" s="158"/>
      <c r="O110" s="77" t="s">
        <v>3093</v>
      </c>
      <c r="P110" s="146" t="s">
        <v>193</v>
      </c>
      <c r="Q110" s="147"/>
      <c r="R110" s="147"/>
      <c r="S110" s="147"/>
      <c r="T110" s="147"/>
      <c r="U110" s="147"/>
      <c r="V110" s="147"/>
      <c r="W110" s="147"/>
      <c r="X110" s="147"/>
      <c r="Y110" s="147"/>
      <c r="Z110" s="147"/>
      <c r="AA110" s="147"/>
      <c r="AB110" s="147"/>
      <c r="AC110" s="147"/>
      <c r="AD110" s="148"/>
      <c r="AE110" s="142" t="str">
        <f t="shared" ca="1" si="61"/>
        <v>sgioy_202310_backup_merge_dpc_hn</v>
      </c>
      <c r="AF110" s="143"/>
      <c r="AG110" s="143"/>
      <c r="AH110" s="143"/>
      <c r="AI110" s="143"/>
      <c r="AJ110" s="143"/>
      <c r="AK110" s="143"/>
      <c r="AL110" s="144"/>
      <c r="AM110" s="142" t="str">
        <f t="shared" ca="1" si="62"/>
        <v>DPC調査データ_Hファイルテーブルから組入れ条件の第一条件で絞り込んだ結果を格納するテーブル</v>
      </c>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5"/>
      <c r="BK110" s="32" t="str">
        <f t="shared" si="63"/>
        <v>ENT_01_C1-04_バックアップ_DPC調査データ_Hファイル.sql</v>
      </c>
    </row>
    <row r="111" spans="1:64" ht="37.5" hidden="1" customHeight="1" outlineLevel="1">
      <c r="A111" s="34" t="str">
        <f t="shared" si="60"/>
        <v>バックアップ_DPC調査データ_様式1</v>
      </c>
      <c r="B111" s="153" t="str">
        <f t="shared" si="64"/>
        <v>01</v>
      </c>
      <c r="C111" s="154"/>
      <c r="D111" s="154"/>
      <c r="E111" s="154"/>
      <c r="F111" s="155"/>
      <c r="G111" s="156" t="s">
        <v>195</v>
      </c>
      <c r="H111" s="157"/>
      <c r="I111" s="157"/>
      <c r="J111" s="157"/>
      <c r="K111" s="157"/>
      <c r="L111" s="157"/>
      <c r="M111" s="157"/>
      <c r="N111" s="158"/>
      <c r="O111" s="77" t="s">
        <v>3094</v>
      </c>
      <c r="P111" s="146" t="s">
        <v>194</v>
      </c>
      <c r="Q111" s="147"/>
      <c r="R111" s="147"/>
      <c r="S111" s="147"/>
      <c r="T111" s="147"/>
      <c r="U111" s="147"/>
      <c r="V111" s="147"/>
      <c r="W111" s="147"/>
      <c r="X111" s="147"/>
      <c r="Y111" s="147"/>
      <c r="Z111" s="147"/>
      <c r="AA111" s="147"/>
      <c r="AB111" s="147"/>
      <c r="AC111" s="147"/>
      <c r="AD111" s="148"/>
      <c r="AE111" s="142" t="str">
        <f t="shared" ca="1" si="61"/>
        <v>sgioy_202310_backup_merge_dpc_ff1</v>
      </c>
      <c r="AF111" s="143"/>
      <c r="AG111" s="143"/>
      <c r="AH111" s="143"/>
      <c r="AI111" s="143"/>
      <c r="AJ111" s="143"/>
      <c r="AK111" s="143"/>
      <c r="AL111" s="144"/>
      <c r="AM111" s="142" t="str">
        <f t="shared" ca="1" si="62"/>
        <v>DPC調査データ_様式1テーブルから組入れ条件の第一条件で絞り込んだ結果を格納するテーブル</v>
      </c>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5"/>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53" t="str">
        <f t="shared" si="64"/>
        <v>01</v>
      </c>
      <c r="C112" s="154"/>
      <c r="D112" s="154"/>
      <c r="E112" s="154"/>
      <c r="F112" s="155"/>
      <c r="G112" s="156" t="s">
        <v>195</v>
      </c>
      <c r="H112" s="157"/>
      <c r="I112" s="157"/>
      <c r="J112" s="157"/>
      <c r="K112" s="157"/>
      <c r="L112" s="157"/>
      <c r="M112" s="157"/>
      <c r="N112" s="158"/>
      <c r="O112" s="77" t="s">
        <v>3095</v>
      </c>
      <c r="P112" s="146" t="s">
        <v>313</v>
      </c>
      <c r="Q112" s="147"/>
      <c r="R112" s="147"/>
      <c r="S112" s="147"/>
      <c r="T112" s="147"/>
      <c r="U112" s="147"/>
      <c r="V112" s="147"/>
      <c r="W112" s="147"/>
      <c r="X112" s="147"/>
      <c r="Y112" s="147"/>
      <c r="Z112" s="147"/>
      <c r="AA112" s="147"/>
      <c r="AB112" s="147"/>
      <c r="AC112" s="147"/>
      <c r="AD112" s="148"/>
      <c r="AE112" s="142" t="str">
        <f t="shared" ca="1" si="61"/>
        <v>sgioy_202310_backup_merge_dpc_ff1_a006040</v>
      </c>
      <c r="AF112" s="143"/>
      <c r="AG112" s="143"/>
      <c r="AH112" s="143"/>
      <c r="AI112" s="143"/>
      <c r="AJ112" s="143"/>
      <c r="AK112" s="143"/>
      <c r="AL112" s="144"/>
      <c r="AM112" s="142" t="str">
        <f t="shared" ca="1" si="62"/>
        <v>DPC調査データ_様式1_診断情報_併存症テーブルから組入れ条件の第一条件で絞り込んだ結果を格納するテーブル</v>
      </c>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5"/>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53" t="str">
        <f>TEXT(1,"00")</f>
        <v>01</v>
      </c>
      <c r="C113" s="154"/>
      <c r="D113" s="154"/>
      <c r="E113" s="154"/>
      <c r="F113" s="155"/>
      <c r="G113" s="156" t="s">
        <v>195</v>
      </c>
      <c r="H113" s="157"/>
      <c r="I113" s="157"/>
      <c r="J113" s="157"/>
      <c r="K113" s="157"/>
      <c r="L113" s="157"/>
      <c r="M113" s="157"/>
      <c r="N113" s="158"/>
      <c r="O113" s="77" t="s">
        <v>3096</v>
      </c>
      <c r="P113" s="146" t="s">
        <v>314</v>
      </c>
      <c r="Q113" s="147"/>
      <c r="R113" s="147"/>
      <c r="S113" s="147"/>
      <c r="T113" s="147"/>
      <c r="U113" s="147"/>
      <c r="V113" s="147"/>
      <c r="W113" s="147"/>
      <c r="X113" s="147"/>
      <c r="Y113" s="147"/>
      <c r="Z113" s="147"/>
      <c r="AA113" s="147"/>
      <c r="AB113" s="147"/>
      <c r="AC113" s="147"/>
      <c r="AD113" s="148"/>
      <c r="AE113" s="142" t="str">
        <f t="shared" ref="AE113" ca="1" si="65">IFERROR(INDIRECT(P113&amp;"!D8"),"")</f>
        <v>sgioy_202310_backup_merge_dpc_ff1_a006050</v>
      </c>
      <c r="AF113" s="143"/>
      <c r="AG113" s="143"/>
      <c r="AH113" s="143"/>
      <c r="AI113" s="143"/>
      <c r="AJ113" s="143"/>
      <c r="AK113" s="143"/>
      <c r="AL113" s="144"/>
      <c r="AM113" s="142" t="str">
        <f t="shared" ref="AM113" ca="1" si="66">IFERROR(INDIRECT(P113&amp;"!D9"),"")</f>
        <v>DPC調査データ_様式1_診断情報_続発症テーブルから組入れ条件の第一条件で絞り込んだ結果を格納するテーブル</v>
      </c>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5"/>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53" t="str">
        <f t="shared" ref="B114:B118" si="67">TEXT(1,"00")</f>
        <v>01</v>
      </c>
      <c r="C114" s="154"/>
      <c r="D114" s="154"/>
      <c r="E114" s="154"/>
      <c r="F114" s="155"/>
      <c r="G114" s="156" t="s">
        <v>195</v>
      </c>
      <c r="H114" s="157"/>
      <c r="I114" s="157"/>
      <c r="J114" s="157"/>
      <c r="K114" s="157"/>
      <c r="L114" s="157"/>
      <c r="M114" s="157"/>
      <c r="N114" s="158"/>
      <c r="O114" s="77" t="s">
        <v>3097</v>
      </c>
      <c r="P114" s="146" t="s">
        <v>907</v>
      </c>
      <c r="Q114" s="147"/>
      <c r="R114" s="147"/>
      <c r="S114" s="147"/>
      <c r="T114" s="147"/>
      <c r="U114" s="147"/>
      <c r="V114" s="147"/>
      <c r="W114" s="147"/>
      <c r="X114" s="147"/>
      <c r="Y114" s="147"/>
      <c r="Z114" s="147"/>
      <c r="AA114" s="147"/>
      <c r="AB114" s="147"/>
      <c r="AC114" s="147"/>
      <c r="AD114" s="148"/>
      <c r="AE114" s="142" t="str">
        <f t="shared" ref="AE114:AE152" ca="1" si="68">IFERROR(INDIRECT(P114&amp;"!D8"),"")</f>
        <v>sgioy_202310_backup_merge_receiptc_ir</v>
      </c>
      <c r="AF114" s="143"/>
      <c r="AG114" s="143"/>
      <c r="AH114" s="143"/>
      <c r="AI114" s="143"/>
      <c r="AJ114" s="143"/>
      <c r="AK114" s="143"/>
      <c r="AL114" s="144"/>
      <c r="AM114" s="142" t="str">
        <f t="shared" ref="AM114:AM152" ca="1" si="69">IFERROR(INDIRECT(P114&amp;"!D9"),"")</f>
        <v>医科レセプト_医療機関情報レコードテーブルから組入れ条件の第一条件で絞り込んだ結果を格納するテーブル</v>
      </c>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5"/>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53" t="str">
        <f t="shared" si="67"/>
        <v>01</v>
      </c>
      <c r="C115" s="154"/>
      <c r="D115" s="154"/>
      <c r="E115" s="154"/>
      <c r="F115" s="155"/>
      <c r="G115" s="156" t="s">
        <v>195</v>
      </c>
      <c r="H115" s="157"/>
      <c r="I115" s="157"/>
      <c r="J115" s="157"/>
      <c r="K115" s="157"/>
      <c r="L115" s="157"/>
      <c r="M115" s="157"/>
      <c r="N115" s="158"/>
      <c r="O115" s="77" t="s">
        <v>3098</v>
      </c>
      <c r="P115" s="146" t="s">
        <v>942</v>
      </c>
      <c r="Q115" s="147"/>
      <c r="R115" s="147"/>
      <c r="S115" s="147"/>
      <c r="T115" s="147"/>
      <c r="U115" s="147"/>
      <c r="V115" s="147"/>
      <c r="W115" s="147"/>
      <c r="X115" s="147"/>
      <c r="Y115" s="147"/>
      <c r="Z115" s="147"/>
      <c r="AA115" s="147"/>
      <c r="AB115" s="147"/>
      <c r="AC115" s="147"/>
      <c r="AD115" s="148"/>
      <c r="AE115" s="142" t="str">
        <f t="shared" ca="1" si="68"/>
        <v>sgioy_202310_backup_merge_receiptc_re</v>
      </c>
      <c r="AF115" s="143"/>
      <c r="AG115" s="143"/>
      <c r="AH115" s="143"/>
      <c r="AI115" s="143"/>
      <c r="AJ115" s="143"/>
      <c r="AK115" s="143"/>
      <c r="AL115" s="144"/>
      <c r="AM115" s="142" t="str">
        <f t="shared" ca="1" si="69"/>
        <v>医科レセプト_レセプト共通レコードテーブルから組入れ条件の第一条件で絞り込んだ結果を格納するテーブル</v>
      </c>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5"/>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53" t="str">
        <f t="shared" si="67"/>
        <v>01</v>
      </c>
      <c r="C116" s="154"/>
      <c r="D116" s="154"/>
      <c r="E116" s="154"/>
      <c r="F116" s="155"/>
      <c r="G116" s="156" t="s">
        <v>195</v>
      </c>
      <c r="H116" s="157"/>
      <c r="I116" s="157"/>
      <c r="J116" s="157"/>
      <c r="K116" s="157"/>
      <c r="L116" s="157"/>
      <c r="M116" s="157"/>
      <c r="N116" s="158"/>
      <c r="O116" s="77" t="s">
        <v>3099</v>
      </c>
      <c r="P116" s="146" t="s">
        <v>1074</v>
      </c>
      <c r="Q116" s="147"/>
      <c r="R116" s="147"/>
      <c r="S116" s="147"/>
      <c r="T116" s="147"/>
      <c r="U116" s="147"/>
      <c r="V116" s="147"/>
      <c r="W116" s="147"/>
      <c r="X116" s="147"/>
      <c r="Y116" s="147"/>
      <c r="Z116" s="147"/>
      <c r="AA116" s="147"/>
      <c r="AB116" s="147"/>
      <c r="AC116" s="147"/>
      <c r="AD116" s="148"/>
      <c r="AE116" s="142" t="str">
        <f t="shared" ca="1" si="68"/>
        <v>sgioy_202310_backup_merge_receiptc_sy</v>
      </c>
      <c r="AF116" s="143"/>
      <c r="AG116" s="143"/>
      <c r="AH116" s="143"/>
      <c r="AI116" s="143"/>
      <c r="AJ116" s="143"/>
      <c r="AK116" s="143"/>
      <c r="AL116" s="144"/>
      <c r="AM116" s="142" t="str">
        <f t="shared" ca="1" si="69"/>
        <v>医科レセプト_傷病名レコードテーブルから組入れ条件の第一条件で絞り込んだ結果を格納するテーブル</v>
      </c>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5"/>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53" t="str">
        <f t="shared" si="67"/>
        <v>01</v>
      </c>
      <c r="C117" s="154"/>
      <c r="D117" s="154"/>
      <c r="E117" s="154"/>
      <c r="F117" s="155"/>
      <c r="G117" s="156" t="s">
        <v>195</v>
      </c>
      <c r="H117" s="157"/>
      <c r="I117" s="157"/>
      <c r="J117" s="157"/>
      <c r="K117" s="157"/>
      <c r="L117" s="157"/>
      <c r="M117" s="157"/>
      <c r="N117" s="158"/>
      <c r="O117" s="77" t="s">
        <v>3100</v>
      </c>
      <c r="P117" s="146" t="s">
        <v>1123</v>
      </c>
      <c r="Q117" s="147"/>
      <c r="R117" s="147"/>
      <c r="S117" s="147"/>
      <c r="T117" s="147"/>
      <c r="U117" s="147"/>
      <c r="V117" s="147"/>
      <c r="W117" s="147"/>
      <c r="X117" s="147"/>
      <c r="Y117" s="147"/>
      <c r="Z117" s="147"/>
      <c r="AA117" s="147"/>
      <c r="AB117" s="147"/>
      <c r="AC117" s="147"/>
      <c r="AD117" s="148"/>
      <c r="AE117" s="142" t="str">
        <f t="shared" ca="1" si="68"/>
        <v>sgioy_202310_backup_merge_receiptc_si</v>
      </c>
      <c r="AF117" s="143"/>
      <c r="AG117" s="143"/>
      <c r="AH117" s="143"/>
      <c r="AI117" s="143"/>
      <c r="AJ117" s="143"/>
      <c r="AK117" s="143"/>
      <c r="AL117" s="144"/>
      <c r="AM117" s="142" t="str">
        <f t="shared" ca="1" si="69"/>
        <v>医科レセプト_診療行為レコードテーブルから組入れ条件の第一条件で絞り込んだ結果を格納するテーブル</v>
      </c>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5"/>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53" t="str">
        <f t="shared" si="67"/>
        <v>01</v>
      </c>
      <c r="C118" s="154"/>
      <c r="D118" s="154"/>
      <c r="E118" s="154"/>
      <c r="F118" s="155"/>
      <c r="G118" s="156" t="s">
        <v>195</v>
      </c>
      <c r="H118" s="157"/>
      <c r="I118" s="157"/>
      <c r="J118" s="157"/>
      <c r="K118" s="157"/>
      <c r="L118" s="157"/>
      <c r="M118" s="157"/>
      <c r="N118" s="158"/>
      <c r="O118" s="77" t="s">
        <v>3101</v>
      </c>
      <c r="P118" s="146" t="s">
        <v>1151</v>
      </c>
      <c r="Q118" s="147"/>
      <c r="R118" s="147"/>
      <c r="S118" s="147"/>
      <c r="T118" s="147"/>
      <c r="U118" s="147"/>
      <c r="V118" s="147"/>
      <c r="W118" s="147"/>
      <c r="X118" s="147"/>
      <c r="Y118" s="147"/>
      <c r="Z118" s="147"/>
      <c r="AA118" s="147"/>
      <c r="AB118" s="147"/>
      <c r="AC118" s="147"/>
      <c r="AD118" s="148"/>
      <c r="AE118" s="142" t="str">
        <f t="shared" ca="1" si="68"/>
        <v>sgioy_202310_backup_merge_receiptc_si_day</v>
      </c>
      <c r="AF118" s="143"/>
      <c r="AG118" s="143"/>
      <c r="AH118" s="143"/>
      <c r="AI118" s="143"/>
      <c r="AJ118" s="143"/>
      <c r="AK118" s="143"/>
      <c r="AL118" s="144"/>
      <c r="AM118" s="142" t="str">
        <f t="shared" ca="1" si="69"/>
        <v>医科レセプト_診療行為レコード_算定日情報テーブルから組入れ条件の第一条件で絞り込んだ結果を格納するテーブル</v>
      </c>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5"/>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53" t="str">
        <f t="shared" si="8"/>
        <v>01</v>
      </c>
      <c r="C119" s="154"/>
      <c r="D119" s="154"/>
      <c r="E119" s="154"/>
      <c r="F119" s="155"/>
      <c r="G119" s="156" t="s">
        <v>195</v>
      </c>
      <c r="H119" s="157"/>
      <c r="I119" s="157"/>
      <c r="J119" s="157"/>
      <c r="K119" s="157"/>
      <c r="L119" s="157"/>
      <c r="M119" s="157"/>
      <c r="N119" s="158"/>
      <c r="O119" s="77" t="s">
        <v>3102</v>
      </c>
      <c r="P119" s="146" t="s">
        <v>1157</v>
      </c>
      <c r="Q119" s="147"/>
      <c r="R119" s="147"/>
      <c r="S119" s="147"/>
      <c r="T119" s="147"/>
      <c r="U119" s="147"/>
      <c r="V119" s="147"/>
      <c r="W119" s="147"/>
      <c r="X119" s="147"/>
      <c r="Y119" s="147"/>
      <c r="Z119" s="147"/>
      <c r="AA119" s="147"/>
      <c r="AB119" s="147"/>
      <c r="AC119" s="147"/>
      <c r="AD119" s="148"/>
      <c r="AE119" s="142" t="str">
        <f t="shared" ca="1" si="68"/>
        <v>sgioy_202310_backup_merge_receiptc_iy</v>
      </c>
      <c r="AF119" s="143"/>
      <c r="AG119" s="143"/>
      <c r="AH119" s="143"/>
      <c r="AI119" s="143"/>
      <c r="AJ119" s="143"/>
      <c r="AK119" s="143"/>
      <c r="AL119" s="144"/>
      <c r="AM119" s="142" t="str">
        <f t="shared" ca="1" si="69"/>
        <v>医科レセプト_医薬品レコードテーブルから組入れ条件の第一条件で絞り込んだ結果を格納するテーブル</v>
      </c>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5"/>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53" t="str">
        <f t="shared" si="8"/>
        <v>01</v>
      </c>
      <c r="C120" s="154"/>
      <c r="D120" s="154"/>
      <c r="E120" s="154"/>
      <c r="F120" s="155"/>
      <c r="G120" s="156" t="s">
        <v>195</v>
      </c>
      <c r="H120" s="157"/>
      <c r="I120" s="157"/>
      <c r="J120" s="157"/>
      <c r="K120" s="157"/>
      <c r="L120" s="157"/>
      <c r="M120" s="157"/>
      <c r="N120" s="158"/>
      <c r="O120" s="77" t="s">
        <v>3103</v>
      </c>
      <c r="P120" s="146" t="s">
        <v>1158</v>
      </c>
      <c r="Q120" s="147"/>
      <c r="R120" s="147"/>
      <c r="S120" s="147"/>
      <c r="T120" s="147"/>
      <c r="U120" s="147"/>
      <c r="V120" s="147"/>
      <c r="W120" s="147"/>
      <c r="X120" s="147"/>
      <c r="Y120" s="147"/>
      <c r="Z120" s="147"/>
      <c r="AA120" s="147"/>
      <c r="AB120" s="147"/>
      <c r="AC120" s="147"/>
      <c r="AD120" s="148"/>
      <c r="AE120" s="142" t="str">
        <f t="shared" ca="1" si="68"/>
        <v>sgioy_202310_backup_merge_receiptc_iy_day</v>
      </c>
      <c r="AF120" s="143"/>
      <c r="AG120" s="143"/>
      <c r="AH120" s="143"/>
      <c r="AI120" s="143"/>
      <c r="AJ120" s="143"/>
      <c r="AK120" s="143"/>
      <c r="AL120" s="144"/>
      <c r="AM120" s="142" t="str">
        <f t="shared" ca="1" si="69"/>
        <v>医科レセプト_医薬品レコード_算定日情報テーブルから組入れ条件の第一条件で絞り込んだ結果を格納するテーブル</v>
      </c>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5"/>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53" t="str">
        <f t="shared" si="8"/>
        <v>01</v>
      </c>
      <c r="C121" s="154"/>
      <c r="D121" s="154"/>
      <c r="E121" s="154"/>
      <c r="F121" s="155"/>
      <c r="G121" s="156" t="s">
        <v>195</v>
      </c>
      <c r="H121" s="157"/>
      <c r="I121" s="157"/>
      <c r="J121" s="157"/>
      <c r="K121" s="157"/>
      <c r="L121" s="157"/>
      <c r="M121" s="157"/>
      <c r="N121" s="158"/>
      <c r="O121" s="77" t="s">
        <v>3104</v>
      </c>
      <c r="P121" s="146" t="s">
        <v>1159</v>
      </c>
      <c r="Q121" s="147"/>
      <c r="R121" s="147"/>
      <c r="S121" s="147"/>
      <c r="T121" s="147"/>
      <c r="U121" s="147"/>
      <c r="V121" s="147"/>
      <c r="W121" s="147"/>
      <c r="X121" s="147"/>
      <c r="Y121" s="147"/>
      <c r="Z121" s="147"/>
      <c r="AA121" s="147"/>
      <c r="AB121" s="147"/>
      <c r="AC121" s="147"/>
      <c r="AD121" s="148"/>
      <c r="AE121" s="142" t="str">
        <f t="shared" ca="1" si="68"/>
        <v>sgioy_202310_backup_merge_receiptc_tr</v>
      </c>
      <c r="AF121" s="143"/>
      <c r="AG121" s="143"/>
      <c r="AH121" s="143"/>
      <c r="AI121" s="143"/>
      <c r="AJ121" s="143"/>
      <c r="AK121" s="143"/>
      <c r="AL121" s="144"/>
      <c r="AM121" s="142" t="str">
        <f t="shared" ca="1" si="69"/>
        <v>医科レセプト_臓器提供者レセプト情報レコードテーブルから組入れ条件の第一条件で絞り込んだ結果を格納するテーブル</v>
      </c>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5"/>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53" t="str">
        <f t="shared" si="8"/>
        <v>01</v>
      </c>
      <c r="C122" s="154"/>
      <c r="D122" s="154"/>
      <c r="E122" s="154"/>
      <c r="F122" s="155"/>
      <c r="G122" s="156" t="s">
        <v>195</v>
      </c>
      <c r="H122" s="157"/>
      <c r="I122" s="157"/>
      <c r="J122" s="157"/>
      <c r="K122" s="157"/>
      <c r="L122" s="157"/>
      <c r="M122" s="157"/>
      <c r="N122" s="158"/>
      <c r="O122" s="77" t="s">
        <v>3105</v>
      </c>
      <c r="P122" s="146" t="s">
        <v>1200</v>
      </c>
      <c r="Q122" s="147"/>
      <c r="R122" s="147"/>
      <c r="S122" s="147"/>
      <c r="T122" s="147"/>
      <c r="U122" s="147"/>
      <c r="V122" s="147"/>
      <c r="W122" s="147"/>
      <c r="X122" s="147"/>
      <c r="Y122" s="147"/>
      <c r="Z122" s="147"/>
      <c r="AA122" s="147"/>
      <c r="AB122" s="147"/>
      <c r="AC122" s="147"/>
      <c r="AD122" s="148"/>
      <c r="AE122" s="142" t="str">
        <f t="shared" ref="AE122:AE130" ca="1" si="71">IFERROR(INDIRECT(P122&amp;"!D8"),"")</f>
        <v>sgioy_202310_backup_merge_receiptd_ir</v>
      </c>
      <c r="AF122" s="143"/>
      <c r="AG122" s="143"/>
      <c r="AH122" s="143"/>
      <c r="AI122" s="143"/>
      <c r="AJ122" s="143"/>
      <c r="AK122" s="143"/>
      <c r="AL122" s="144"/>
      <c r="AM122" s="142" t="str">
        <f t="shared" ref="AM122:AM130" ca="1" si="72">IFERROR(INDIRECT(P122&amp;"!D9"),"")</f>
        <v>DPCレセプト_医療機関情報レコードテーブルから組入れ条件の第一条件で絞り込んだ結果を格納するテーブル</v>
      </c>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5"/>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53" t="str">
        <f t="shared" si="8"/>
        <v>01</v>
      </c>
      <c r="C123" s="154"/>
      <c r="D123" s="154"/>
      <c r="E123" s="154"/>
      <c r="F123" s="155"/>
      <c r="G123" s="156" t="s">
        <v>195</v>
      </c>
      <c r="H123" s="157"/>
      <c r="I123" s="157"/>
      <c r="J123" s="157"/>
      <c r="K123" s="157"/>
      <c r="L123" s="157"/>
      <c r="M123" s="157"/>
      <c r="N123" s="158"/>
      <c r="O123" s="77" t="s">
        <v>3106</v>
      </c>
      <c r="P123" s="146" t="s">
        <v>1205</v>
      </c>
      <c r="Q123" s="147"/>
      <c r="R123" s="147"/>
      <c r="S123" s="147"/>
      <c r="T123" s="147"/>
      <c r="U123" s="147"/>
      <c r="V123" s="147"/>
      <c r="W123" s="147"/>
      <c r="X123" s="147"/>
      <c r="Y123" s="147"/>
      <c r="Z123" s="147"/>
      <c r="AA123" s="147"/>
      <c r="AB123" s="147"/>
      <c r="AC123" s="147"/>
      <c r="AD123" s="148"/>
      <c r="AE123" s="142" t="str">
        <f t="shared" ca="1" si="71"/>
        <v>sgioy_202310_backup_merge_receiptd_re</v>
      </c>
      <c r="AF123" s="143"/>
      <c r="AG123" s="143"/>
      <c r="AH123" s="143"/>
      <c r="AI123" s="143"/>
      <c r="AJ123" s="143"/>
      <c r="AK123" s="143"/>
      <c r="AL123" s="144"/>
      <c r="AM123" s="142" t="str">
        <f t="shared" ca="1" si="72"/>
        <v>DPCレセプト_レセプト共通レコードテーブルから組入れ条件の第一条件で絞り込んだ結果を格納するテーブル</v>
      </c>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5"/>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53" t="str">
        <f t="shared" si="8"/>
        <v>01</v>
      </c>
      <c r="C124" s="154"/>
      <c r="D124" s="154"/>
      <c r="E124" s="154"/>
      <c r="F124" s="155"/>
      <c r="G124" s="156" t="s">
        <v>195</v>
      </c>
      <c r="H124" s="157"/>
      <c r="I124" s="157"/>
      <c r="J124" s="157"/>
      <c r="K124" s="157"/>
      <c r="L124" s="157"/>
      <c r="M124" s="157"/>
      <c r="N124" s="158"/>
      <c r="O124" s="77" t="s">
        <v>3107</v>
      </c>
      <c r="P124" s="146" t="s">
        <v>1210</v>
      </c>
      <c r="Q124" s="147"/>
      <c r="R124" s="147"/>
      <c r="S124" s="147"/>
      <c r="T124" s="147"/>
      <c r="U124" s="147"/>
      <c r="V124" s="147"/>
      <c r="W124" s="147"/>
      <c r="X124" s="147"/>
      <c r="Y124" s="147"/>
      <c r="Z124" s="147"/>
      <c r="AA124" s="147"/>
      <c r="AB124" s="147"/>
      <c r="AC124" s="147"/>
      <c r="AD124" s="148"/>
      <c r="AE124" s="142" t="str">
        <f t="shared" ca="1" si="71"/>
        <v>sgioy_202310_backup_merge_receiptd_bu</v>
      </c>
      <c r="AF124" s="143"/>
      <c r="AG124" s="143"/>
      <c r="AH124" s="143"/>
      <c r="AI124" s="143"/>
      <c r="AJ124" s="143"/>
      <c r="AK124" s="143"/>
      <c r="AL124" s="144"/>
      <c r="AM124" s="142" t="str">
        <f t="shared" ca="1" si="72"/>
        <v>DPCレセプト_診断群分類レコードテーブルから組入れ条件の第一条件で絞り込んだ結果を格納するテーブル</v>
      </c>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5"/>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53" t="str">
        <f t="shared" si="8"/>
        <v>01</v>
      </c>
      <c r="C125" s="154"/>
      <c r="D125" s="154"/>
      <c r="E125" s="154"/>
      <c r="F125" s="155"/>
      <c r="G125" s="156" t="s">
        <v>195</v>
      </c>
      <c r="H125" s="157"/>
      <c r="I125" s="157"/>
      <c r="J125" s="157"/>
      <c r="K125" s="157"/>
      <c r="L125" s="157"/>
      <c r="M125" s="157"/>
      <c r="N125" s="158"/>
      <c r="O125" s="77" t="s">
        <v>3108</v>
      </c>
      <c r="P125" s="146" t="s">
        <v>1225</v>
      </c>
      <c r="Q125" s="147"/>
      <c r="R125" s="147"/>
      <c r="S125" s="147"/>
      <c r="T125" s="147"/>
      <c r="U125" s="147"/>
      <c r="V125" s="147"/>
      <c r="W125" s="147"/>
      <c r="X125" s="147"/>
      <c r="Y125" s="147"/>
      <c r="Z125" s="147"/>
      <c r="AA125" s="147"/>
      <c r="AB125" s="147"/>
      <c r="AC125" s="147"/>
      <c r="AD125" s="148"/>
      <c r="AE125" s="142" t="str">
        <f t="shared" ca="1" si="71"/>
        <v>sgioy_202310_backup_merge_receiptd_sb</v>
      </c>
      <c r="AF125" s="143"/>
      <c r="AG125" s="143"/>
      <c r="AH125" s="143"/>
      <c r="AI125" s="143"/>
      <c r="AJ125" s="143"/>
      <c r="AK125" s="143"/>
      <c r="AL125" s="144"/>
      <c r="AM125" s="142" t="str">
        <f t="shared" ca="1" si="72"/>
        <v>DPCレセプト_傷病レコードテーブルから組入れ条件の第一条件で絞り込んだ結果を格納するテーブル</v>
      </c>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5"/>
      <c r="BK125" s="32" t="str">
        <f t="shared" si="63"/>
        <v>ENT_01_C3-09_バックアップ_DPCレセプト_傷病レコード.sql</v>
      </c>
    </row>
    <row r="126" spans="1:64" ht="37.5" hidden="1" customHeight="1" outlineLevel="1">
      <c r="A126" s="34" t="str">
        <f t="shared" si="70"/>
        <v>バックアップ_DPCレセプト_傷病名レコード</v>
      </c>
      <c r="B126" s="153" t="str">
        <f t="shared" si="8"/>
        <v>01</v>
      </c>
      <c r="C126" s="154"/>
      <c r="D126" s="154"/>
      <c r="E126" s="154"/>
      <c r="F126" s="155"/>
      <c r="G126" s="156" t="s">
        <v>195</v>
      </c>
      <c r="H126" s="157"/>
      <c r="I126" s="157"/>
      <c r="J126" s="157"/>
      <c r="K126" s="157"/>
      <c r="L126" s="157"/>
      <c r="M126" s="157"/>
      <c r="N126" s="158"/>
      <c r="O126" s="77" t="s">
        <v>3109</v>
      </c>
      <c r="P126" s="146" t="s">
        <v>1231</v>
      </c>
      <c r="Q126" s="147"/>
      <c r="R126" s="147"/>
      <c r="S126" s="147"/>
      <c r="T126" s="147"/>
      <c r="U126" s="147"/>
      <c r="V126" s="147"/>
      <c r="W126" s="147"/>
      <c r="X126" s="147"/>
      <c r="Y126" s="147"/>
      <c r="Z126" s="147"/>
      <c r="AA126" s="147"/>
      <c r="AB126" s="147"/>
      <c r="AC126" s="147"/>
      <c r="AD126" s="148"/>
      <c r="AE126" s="142" t="str">
        <f t="shared" ca="1" si="71"/>
        <v>sgioy_202310_backup_merge_receiptd_sy</v>
      </c>
      <c r="AF126" s="143"/>
      <c r="AG126" s="143"/>
      <c r="AH126" s="143"/>
      <c r="AI126" s="143"/>
      <c r="AJ126" s="143"/>
      <c r="AK126" s="143"/>
      <c r="AL126" s="144"/>
      <c r="AM126" s="142" t="str">
        <f t="shared" ca="1" si="72"/>
        <v>DPCレセプト_傷病名レコードテーブルから組入れ条件の第一条件で絞り込んだ結果を格納するテーブル</v>
      </c>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5"/>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53" t="str">
        <f t="shared" si="8"/>
        <v>01</v>
      </c>
      <c r="C127" s="154"/>
      <c r="D127" s="154"/>
      <c r="E127" s="154"/>
      <c r="F127" s="155"/>
      <c r="G127" s="156" t="s">
        <v>195</v>
      </c>
      <c r="H127" s="157"/>
      <c r="I127" s="157"/>
      <c r="J127" s="157"/>
      <c r="K127" s="157"/>
      <c r="L127" s="157"/>
      <c r="M127" s="157"/>
      <c r="N127" s="158"/>
      <c r="O127" s="77" t="s">
        <v>3110</v>
      </c>
      <c r="P127" s="146" t="s">
        <v>1233</v>
      </c>
      <c r="Q127" s="147"/>
      <c r="R127" s="147"/>
      <c r="S127" s="147"/>
      <c r="T127" s="147"/>
      <c r="U127" s="147"/>
      <c r="V127" s="147"/>
      <c r="W127" s="147"/>
      <c r="X127" s="147"/>
      <c r="Y127" s="147"/>
      <c r="Z127" s="147"/>
      <c r="AA127" s="147"/>
      <c r="AB127" s="147"/>
      <c r="AC127" s="147"/>
      <c r="AD127" s="148"/>
      <c r="AE127" s="142" t="str">
        <f t="shared" ca="1" si="71"/>
        <v>sgioy_202310_backup_merge_receiptd_si</v>
      </c>
      <c r="AF127" s="143"/>
      <c r="AG127" s="143"/>
      <c r="AH127" s="143"/>
      <c r="AI127" s="143"/>
      <c r="AJ127" s="143"/>
      <c r="AK127" s="143"/>
      <c r="AL127" s="144"/>
      <c r="AM127" s="142" t="str">
        <f t="shared" ca="1" si="72"/>
        <v>DPCレセプト_診療行為レコードテーブルから組入れ条件の第一条件で絞り込んだ結果を格納するテーブル</v>
      </c>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5"/>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53" t="str">
        <f t="shared" si="8"/>
        <v>01</v>
      </c>
      <c r="C128" s="154"/>
      <c r="D128" s="154"/>
      <c r="E128" s="154"/>
      <c r="F128" s="155"/>
      <c r="G128" s="156" t="s">
        <v>195</v>
      </c>
      <c r="H128" s="157"/>
      <c r="I128" s="157"/>
      <c r="J128" s="157"/>
      <c r="K128" s="157"/>
      <c r="L128" s="157"/>
      <c r="M128" s="157"/>
      <c r="N128" s="158"/>
      <c r="O128" s="77" t="s">
        <v>3111</v>
      </c>
      <c r="P128" s="146" t="s">
        <v>1235</v>
      </c>
      <c r="Q128" s="147"/>
      <c r="R128" s="147"/>
      <c r="S128" s="147"/>
      <c r="T128" s="147"/>
      <c r="U128" s="147"/>
      <c r="V128" s="147"/>
      <c r="W128" s="147"/>
      <c r="X128" s="147"/>
      <c r="Y128" s="147"/>
      <c r="Z128" s="147"/>
      <c r="AA128" s="147"/>
      <c r="AB128" s="147"/>
      <c r="AC128" s="147"/>
      <c r="AD128" s="148"/>
      <c r="AE128" s="142" t="str">
        <f t="shared" ca="1" si="71"/>
        <v>sgioy_202310_backup_merge_receiptd_si_day</v>
      </c>
      <c r="AF128" s="143"/>
      <c r="AG128" s="143"/>
      <c r="AH128" s="143"/>
      <c r="AI128" s="143"/>
      <c r="AJ128" s="143"/>
      <c r="AK128" s="143"/>
      <c r="AL128" s="144"/>
      <c r="AM128" s="142" t="str">
        <f t="shared" ca="1" si="72"/>
        <v>DPCレセプト_診療行為レコード_算定日情報テーブルから組入れ条件の第一条件で絞り込んだ結果を格納するテーブル</v>
      </c>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5"/>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53" t="str">
        <f t="shared" si="8"/>
        <v>01</v>
      </c>
      <c r="C129" s="154"/>
      <c r="D129" s="154"/>
      <c r="E129" s="154"/>
      <c r="F129" s="155"/>
      <c r="G129" s="156" t="s">
        <v>195</v>
      </c>
      <c r="H129" s="157"/>
      <c r="I129" s="157"/>
      <c r="J129" s="157"/>
      <c r="K129" s="157"/>
      <c r="L129" s="157"/>
      <c r="M129" s="157"/>
      <c r="N129" s="158"/>
      <c r="O129" s="77" t="s">
        <v>3112</v>
      </c>
      <c r="P129" s="146" t="s">
        <v>1238</v>
      </c>
      <c r="Q129" s="147"/>
      <c r="R129" s="147"/>
      <c r="S129" s="147"/>
      <c r="T129" s="147"/>
      <c r="U129" s="147"/>
      <c r="V129" s="147"/>
      <c r="W129" s="147"/>
      <c r="X129" s="147"/>
      <c r="Y129" s="147"/>
      <c r="Z129" s="147"/>
      <c r="AA129" s="147"/>
      <c r="AB129" s="147"/>
      <c r="AC129" s="147"/>
      <c r="AD129" s="148"/>
      <c r="AE129" s="142" t="str">
        <f t="shared" ca="1" si="71"/>
        <v>sgioy_202310_backup_merge_receiptd_iy</v>
      </c>
      <c r="AF129" s="143"/>
      <c r="AG129" s="143"/>
      <c r="AH129" s="143"/>
      <c r="AI129" s="143"/>
      <c r="AJ129" s="143"/>
      <c r="AK129" s="143"/>
      <c r="AL129" s="144"/>
      <c r="AM129" s="142" t="str">
        <f t="shared" ca="1" si="72"/>
        <v>DPCレセプト_医薬品レコードテーブルから組入れ条件の第一条件で絞り込んだ結果を格納するテーブル</v>
      </c>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5"/>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53" t="str">
        <f t="shared" si="8"/>
        <v>01</v>
      </c>
      <c r="C130" s="154"/>
      <c r="D130" s="154"/>
      <c r="E130" s="154"/>
      <c r="F130" s="155"/>
      <c r="G130" s="156" t="s">
        <v>195</v>
      </c>
      <c r="H130" s="157"/>
      <c r="I130" s="157"/>
      <c r="J130" s="157"/>
      <c r="K130" s="157"/>
      <c r="L130" s="157"/>
      <c r="M130" s="157"/>
      <c r="N130" s="158"/>
      <c r="O130" s="77" t="s">
        <v>3113</v>
      </c>
      <c r="P130" s="146" t="s">
        <v>1240</v>
      </c>
      <c r="Q130" s="147"/>
      <c r="R130" s="147"/>
      <c r="S130" s="147"/>
      <c r="T130" s="147"/>
      <c r="U130" s="147"/>
      <c r="V130" s="147"/>
      <c r="W130" s="147"/>
      <c r="X130" s="147"/>
      <c r="Y130" s="147"/>
      <c r="Z130" s="147"/>
      <c r="AA130" s="147"/>
      <c r="AB130" s="147"/>
      <c r="AC130" s="147"/>
      <c r="AD130" s="148"/>
      <c r="AE130" s="142" t="str">
        <f t="shared" ca="1" si="71"/>
        <v>sgioy_202310_backup_merge_receiptd_iy_day</v>
      </c>
      <c r="AF130" s="143"/>
      <c r="AG130" s="143"/>
      <c r="AH130" s="143"/>
      <c r="AI130" s="143"/>
      <c r="AJ130" s="143"/>
      <c r="AK130" s="143"/>
      <c r="AL130" s="144"/>
      <c r="AM130" s="142" t="str">
        <f t="shared" ca="1" si="72"/>
        <v>DPCレセプト_医薬品レコード_算定日情報テーブルから組入れ条件の第一条件で絞り込んだ結果を格納するテーブル</v>
      </c>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5"/>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53" t="str">
        <f t="shared" si="8"/>
        <v>01</v>
      </c>
      <c r="C131" s="154"/>
      <c r="D131" s="154"/>
      <c r="E131" s="154"/>
      <c r="F131" s="155"/>
      <c r="G131" s="156" t="s">
        <v>195</v>
      </c>
      <c r="H131" s="157"/>
      <c r="I131" s="157"/>
      <c r="J131" s="157"/>
      <c r="K131" s="157"/>
      <c r="L131" s="157"/>
      <c r="M131" s="157"/>
      <c r="N131" s="158"/>
      <c r="O131" s="77" t="s">
        <v>3114</v>
      </c>
      <c r="P131" s="146" t="s">
        <v>1242</v>
      </c>
      <c r="Q131" s="147"/>
      <c r="R131" s="147"/>
      <c r="S131" s="147"/>
      <c r="T131" s="147"/>
      <c r="U131" s="147"/>
      <c r="V131" s="147"/>
      <c r="W131" s="147"/>
      <c r="X131" s="147"/>
      <c r="Y131" s="147"/>
      <c r="Z131" s="147"/>
      <c r="AA131" s="147"/>
      <c r="AB131" s="147"/>
      <c r="AC131" s="147"/>
      <c r="AD131" s="148"/>
      <c r="AE131" s="142" t="str">
        <f t="shared" ca="1" si="68"/>
        <v>sgioy_202310_backup_merge_receiptd_tr</v>
      </c>
      <c r="AF131" s="143"/>
      <c r="AG131" s="143"/>
      <c r="AH131" s="143"/>
      <c r="AI131" s="143"/>
      <c r="AJ131" s="143"/>
      <c r="AK131" s="143"/>
      <c r="AL131" s="144"/>
      <c r="AM131" s="142" t="str">
        <f t="shared" ca="1" si="69"/>
        <v>DPCレセプト_臓器提供者レセプト情報レコードテーブルから組入れ条件の第一条件で絞り込んだ結果を格納するテーブル</v>
      </c>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5"/>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53" t="str">
        <f t="shared" si="8"/>
        <v>01</v>
      </c>
      <c r="C132" s="154"/>
      <c r="D132" s="154"/>
      <c r="E132" s="154"/>
      <c r="F132" s="155"/>
      <c r="G132" s="156" t="s">
        <v>195</v>
      </c>
      <c r="H132" s="157"/>
      <c r="I132" s="157"/>
      <c r="J132" s="157"/>
      <c r="K132" s="157"/>
      <c r="L132" s="157"/>
      <c r="M132" s="157"/>
      <c r="N132" s="158"/>
      <c r="O132" s="77" t="s">
        <v>3115</v>
      </c>
      <c r="P132" s="146" t="s">
        <v>1244</v>
      </c>
      <c r="Q132" s="147"/>
      <c r="R132" s="147"/>
      <c r="S132" s="147"/>
      <c r="T132" s="147"/>
      <c r="U132" s="147"/>
      <c r="V132" s="147"/>
      <c r="W132" s="147"/>
      <c r="X132" s="147"/>
      <c r="Y132" s="147"/>
      <c r="Z132" s="147"/>
      <c r="AA132" s="147"/>
      <c r="AB132" s="147"/>
      <c r="AC132" s="147"/>
      <c r="AD132" s="148"/>
      <c r="AE132" s="142" t="str">
        <f t="shared" ca="1" si="68"/>
        <v>sgioy_202310_backup_merge_mml_pi_master</v>
      </c>
      <c r="AF132" s="143"/>
      <c r="AG132" s="143"/>
      <c r="AH132" s="143"/>
      <c r="AI132" s="143"/>
      <c r="AJ132" s="143"/>
      <c r="AK132" s="143"/>
      <c r="AL132" s="144"/>
      <c r="AM132" s="142" t="str">
        <f t="shared" ca="1" si="69"/>
        <v>患者情報モジュール_患者情報テーブルから組入れ条件の第一条件で絞り込んだ結果を格納するテーブル</v>
      </c>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5"/>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53" t="str">
        <f t="shared" si="8"/>
        <v>01</v>
      </c>
      <c r="C133" s="154"/>
      <c r="D133" s="154"/>
      <c r="E133" s="154"/>
      <c r="F133" s="155"/>
      <c r="G133" s="156" t="s">
        <v>195</v>
      </c>
      <c r="H133" s="157"/>
      <c r="I133" s="157"/>
      <c r="J133" s="157"/>
      <c r="K133" s="157"/>
      <c r="L133" s="157"/>
      <c r="M133" s="157"/>
      <c r="N133" s="158"/>
      <c r="O133" s="77" t="s">
        <v>3116</v>
      </c>
      <c r="P133" s="146" t="s">
        <v>1302</v>
      </c>
      <c r="Q133" s="147"/>
      <c r="R133" s="147"/>
      <c r="S133" s="147"/>
      <c r="T133" s="147"/>
      <c r="U133" s="147"/>
      <c r="V133" s="147"/>
      <c r="W133" s="147"/>
      <c r="X133" s="147"/>
      <c r="Y133" s="147"/>
      <c r="Z133" s="147"/>
      <c r="AA133" s="147"/>
      <c r="AB133" s="147"/>
      <c r="AC133" s="147"/>
      <c r="AD133" s="148"/>
      <c r="AE133" s="142" t="str">
        <f t="shared" ca="1" si="68"/>
        <v>sgioy_202310_backup_merge_mml_rd_register</v>
      </c>
      <c r="AF133" s="143"/>
      <c r="AG133" s="143"/>
      <c r="AH133" s="143"/>
      <c r="AI133" s="143"/>
      <c r="AJ133" s="143"/>
      <c r="AK133" s="143"/>
      <c r="AL133" s="144"/>
      <c r="AM133" s="142" t="str">
        <f t="shared" ca="1" si="69"/>
        <v>診断履歴情報モジュール_診断履歴情報レコードテーブルから組入れ条件の第一条件で絞り込んだ結果を格納するテーブル</v>
      </c>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5"/>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53" t="str">
        <f t="shared" si="8"/>
        <v>01</v>
      </c>
      <c r="C134" s="154"/>
      <c r="D134" s="154"/>
      <c r="E134" s="154"/>
      <c r="F134" s="155"/>
      <c r="G134" s="156" t="s">
        <v>195</v>
      </c>
      <c r="H134" s="157"/>
      <c r="I134" s="157"/>
      <c r="J134" s="157"/>
      <c r="K134" s="157"/>
      <c r="L134" s="157"/>
      <c r="M134" s="157"/>
      <c r="N134" s="158"/>
      <c r="O134" s="77" t="s">
        <v>3117</v>
      </c>
      <c r="P134" s="146" t="s">
        <v>1321</v>
      </c>
      <c r="Q134" s="147"/>
      <c r="R134" s="147"/>
      <c r="S134" s="147"/>
      <c r="T134" s="147"/>
      <c r="U134" s="147"/>
      <c r="V134" s="147"/>
      <c r="W134" s="147"/>
      <c r="X134" s="147"/>
      <c r="Y134" s="147"/>
      <c r="Z134" s="147"/>
      <c r="AA134" s="147"/>
      <c r="AB134" s="147"/>
      <c r="AC134" s="147"/>
      <c r="AD134" s="148"/>
      <c r="AE134" s="142" t="str">
        <f t="shared" ca="1" si="68"/>
        <v>sgioy_202310_backup_merge_mml_rd_byomei</v>
      </c>
      <c r="AF134" s="143"/>
      <c r="AG134" s="143"/>
      <c r="AH134" s="143"/>
      <c r="AI134" s="143"/>
      <c r="AJ134" s="143"/>
      <c r="AK134" s="143"/>
      <c r="AL134" s="144"/>
      <c r="AM134" s="142" t="str">
        <f t="shared" ca="1" si="69"/>
        <v>診断履歴情報モジュール_診断病名レコードテーブルから組入れ条件の第一条件で絞り込んだ結果を格納するテーブル</v>
      </c>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5"/>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53" t="str">
        <f t="shared" si="8"/>
        <v>01</v>
      </c>
      <c r="C135" s="154"/>
      <c r="D135" s="154"/>
      <c r="E135" s="154"/>
      <c r="F135" s="155"/>
      <c r="G135" s="156" t="s">
        <v>195</v>
      </c>
      <c r="H135" s="157"/>
      <c r="I135" s="157"/>
      <c r="J135" s="157"/>
      <c r="K135" s="157"/>
      <c r="L135" s="157"/>
      <c r="M135" s="157"/>
      <c r="N135" s="158"/>
      <c r="O135" s="77" t="s">
        <v>3118</v>
      </c>
      <c r="P135" s="146" t="s">
        <v>1335</v>
      </c>
      <c r="Q135" s="147"/>
      <c r="R135" s="147"/>
      <c r="S135" s="147"/>
      <c r="T135" s="147"/>
      <c r="U135" s="147"/>
      <c r="V135" s="147"/>
      <c r="W135" s="147"/>
      <c r="X135" s="147"/>
      <c r="Y135" s="147"/>
      <c r="Z135" s="147"/>
      <c r="AA135" s="147"/>
      <c r="AB135" s="147"/>
      <c r="AC135" s="147"/>
      <c r="AD135" s="148"/>
      <c r="AE135" s="142" t="str">
        <f t="shared" ca="1" si="68"/>
        <v>sgioy_202310_backup_merge_mml_rd_category</v>
      </c>
      <c r="AF135" s="143"/>
      <c r="AG135" s="143"/>
      <c r="AH135" s="143"/>
      <c r="AI135" s="143"/>
      <c r="AJ135" s="143"/>
      <c r="AK135" s="143"/>
      <c r="AL135" s="144"/>
      <c r="AM135" s="142" t="str">
        <f t="shared" ca="1" si="69"/>
        <v>診断履歴情報モジュール_診断分類レコードテーブルから組入れ条件の第一条件で絞り込んだ結果を格納するテーブル</v>
      </c>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5"/>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53" t="str">
        <f t="shared" si="8"/>
        <v>01</v>
      </c>
      <c r="C136" s="154"/>
      <c r="D136" s="154"/>
      <c r="E136" s="154"/>
      <c r="F136" s="155"/>
      <c r="G136" s="156" t="s">
        <v>195</v>
      </c>
      <c r="H136" s="157"/>
      <c r="I136" s="157"/>
      <c r="J136" s="157"/>
      <c r="K136" s="157"/>
      <c r="L136" s="157"/>
      <c r="M136" s="157"/>
      <c r="N136" s="158"/>
      <c r="O136" s="77" t="s">
        <v>3119</v>
      </c>
      <c r="P136" s="146" t="s">
        <v>1346</v>
      </c>
      <c r="Q136" s="147"/>
      <c r="R136" s="147"/>
      <c r="S136" s="147"/>
      <c r="T136" s="147"/>
      <c r="U136" s="147"/>
      <c r="V136" s="147"/>
      <c r="W136" s="147"/>
      <c r="X136" s="147"/>
      <c r="Y136" s="147"/>
      <c r="Z136" s="147"/>
      <c r="AA136" s="147"/>
      <c r="AB136" s="147"/>
      <c r="AC136" s="147"/>
      <c r="AD136" s="148"/>
      <c r="AE136" s="142" t="str">
        <f t="shared" ca="1" si="68"/>
        <v>sgioy_202310_backup_merge_mml_pc_progress_course</v>
      </c>
      <c r="AF136" s="143"/>
      <c r="AG136" s="143"/>
      <c r="AH136" s="143"/>
      <c r="AI136" s="143"/>
      <c r="AJ136" s="143"/>
      <c r="AK136" s="143"/>
      <c r="AL136" s="144"/>
      <c r="AM136" s="142" t="str">
        <f t="shared" ca="1" si="69"/>
        <v>経過記録情報モジュール_経過記録情報レコードテーブルから組入れ条件の第一条件で絞り込んだ結果を格納するテーブル</v>
      </c>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5"/>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53" t="str">
        <f t="shared" si="8"/>
        <v>01</v>
      </c>
      <c r="C137" s="154"/>
      <c r="D137" s="154"/>
      <c r="E137" s="154"/>
      <c r="F137" s="155"/>
      <c r="G137" s="156" t="s">
        <v>195</v>
      </c>
      <c r="H137" s="157"/>
      <c r="I137" s="157"/>
      <c r="J137" s="157"/>
      <c r="K137" s="157"/>
      <c r="L137" s="157"/>
      <c r="M137" s="157"/>
      <c r="N137" s="158"/>
      <c r="O137" s="77" t="s">
        <v>3120</v>
      </c>
      <c r="P137" s="146" t="s">
        <v>1354</v>
      </c>
      <c r="Q137" s="147"/>
      <c r="R137" s="147"/>
      <c r="S137" s="147"/>
      <c r="T137" s="147"/>
      <c r="U137" s="147"/>
      <c r="V137" s="147"/>
      <c r="W137" s="147"/>
      <c r="X137" s="147"/>
      <c r="Y137" s="147"/>
      <c r="Z137" s="147"/>
      <c r="AA137" s="147"/>
      <c r="AB137" s="147"/>
      <c r="AC137" s="147"/>
      <c r="AD137" s="148"/>
      <c r="AE137" s="142" t="str">
        <f t="shared" ca="1" si="68"/>
        <v>sgioy_202310_backup_merge_mml_pc_problem</v>
      </c>
      <c r="AF137" s="143"/>
      <c r="AG137" s="143"/>
      <c r="AH137" s="143"/>
      <c r="AI137" s="143"/>
      <c r="AJ137" s="143"/>
      <c r="AK137" s="143"/>
      <c r="AL137" s="144"/>
      <c r="AM137" s="142" t="str">
        <f t="shared" ca="1" si="69"/>
        <v>経過記録情報モジュール_プロブレムレコードテーブルから組入れ条件の第一条件で絞り込んだ結果を格納するテーブル</v>
      </c>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5"/>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53" t="str">
        <f t="shared" si="8"/>
        <v>01</v>
      </c>
      <c r="C138" s="154"/>
      <c r="D138" s="154"/>
      <c r="E138" s="154"/>
      <c r="F138" s="155"/>
      <c r="G138" s="156" t="s">
        <v>195</v>
      </c>
      <c r="H138" s="157"/>
      <c r="I138" s="157"/>
      <c r="J138" s="157"/>
      <c r="K138" s="157"/>
      <c r="L138" s="157"/>
      <c r="M138" s="157"/>
      <c r="N138" s="158"/>
      <c r="O138" s="77" t="s">
        <v>3121</v>
      </c>
      <c r="P138" s="146" t="s">
        <v>1392</v>
      </c>
      <c r="Q138" s="147"/>
      <c r="R138" s="147"/>
      <c r="S138" s="147"/>
      <c r="T138" s="147"/>
      <c r="U138" s="147"/>
      <c r="V138" s="147"/>
      <c r="W138" s="147"/>
      <c r="X138" s="147"/>
      <c r="Y138" s="147"/>
      <c r="Z138" s="147"/>
      <c r="AA138" s="147"/>
      <c r="AB138" s="147"/>
      <c r="AC138" s="147"/>
      <c r="AD138" s="148"/>
      <c r="AE138" s="142" t="str">
        <f t="shared" ca="1" si="68"/>
        <v>sgioy_202310_backup_merge_mml_pc_physical_exam</v>
      </c>
      <c r="AF138" s="143"/>
      <c r="AG138" s="143"/>
      <c r="AH138" s="143"/>
      <c r="AI138" s="143"/>
      <c r="AJ138" s="143"/>
      <c r="AK138" s="143"/>
      <c r="AL138" s="144"/>
      <c r="AM138" s="142" t="str">
        <f t="shared" ca="1" si="69"/>
        <v>経過記録情報モジュール_身体所見レコードテーブルから組入れ条件の第一条件で絞り込んだ結果を格納するテーブル</v>
      </c>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5"/>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53" t="str">
        <f t="shared" si="8"/>
        <v>01</v>
      </c>
      <c r="C139" s="154"/>
      <c r="D139" s="154"/>
      <c r="E139" s="154"/>
      <c r="F139" s="155"/>
      <c r="G139" s="156" t="s">
        <v>195</v>
      </c>
      <c r="H139" s="157"/>
      <c r="I139" s="157"/>
      <c r="J139" s="157"/>
      <c r="K139" s="157"/>
      <c r="L139" s="157"/>
      <c r="M139" s="157"/>
      <c r="N139" s="158"/>
      <c r="O139" s="77" t="s">
        <v>3122</v>
      </c>
      <c r="P139" s="146" t="s">
        <v>1406</v>
      </c>
      <c r="Q139" s="147"/>
      <c r="R139" s="147"/>
      <c r="S139" s="147"/>
      <c r="T139" s="147"/>
      <c r="U139" s="147"/>
      <c r="V139" s="147"/>
      <c r="W139" s="147"/>
      <c r="X139" s="147"/>
      <c r="Y139" s="147"/>
      <c r="Z139" s="147"/>
      <c r="AA139" s="147"/>
      <c r="AB139" s="147"/>
      <c r="AC139" s="147"/>
      <c r="AD139" s="148"/>
      <c r="AE139" s="142" t="str">
        <f t="shared" ca="1" si="68"/>
        <v>sgioy_202310_backup_merge_mml_pc_assessment</v>
      </c>
      <c r="AF139" s="143"/>
      <c r="AG139" s="143"/>
      <c r="AH139" s="143"/>
      <c r="AI139" s="143"/>
      <c r="AJ139" s="143"/>
      <c r="AK139" s="143"/>
      <c r="AL139" s="144"/>
      <c r="AM139" s="142" t="str">
        <f t="shared" ca="1" si="69"/>
        <v>経過記録情報モジュール_アセスメントレコードテーブルから組入れ条件の第一条件で絞り込んだ結果を格納するテーブル</v>
      </c>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5"/>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53" t="str">
        <f t="shared" si="8"/>
        <v>01</v>
      </c>
      <c r="C140" s="154"/>
      <c r="D140" s="154"/>
      <c r="E140" s="154"/>
      <c r="F140" s="155"/>
      <c r="G140" s="156" t="s">
        <v>195</v>
      </c>
      <c r="H140" s="157"/>
      <c r="I140" s="157"/>
      <c r="J140" s="157"/>
      <c r="K140" s="157"/>
      <c r="L140" s="157"/>
      <c r="M140" s="157"/>
      <c r="N140" s="158"/>
      <c r="O140" s="77" t="s">
        <v>3123</v>
      </c>
      <c r="P140" s="146" t="s">
        <v>1414</v>
      </c>
      <c r="Q140" s="147"/>
      <c r="R140" s="147"/>
      <c r="S140" s="147"/>
      <c r="T140" s="147"/>
      <c r="U140" s="147"/>
      <c r="V140" s="147"/>
      <c r="W140" s="147"/>
      <c r="X140" s="147"/>
      <c r="Y140" s="147"/>
      <c r="Z140" s="147"/>
      <c r="AA140" s="147"/>
      <c r="AB140" s="147"/>
      <c r="AC140" s="147"/>
      <c r="AD140" s="148"/>
      <c r="AE140" s="142" t="str">
        <f t="shared" ca="1" si="68"/>
        <v>sgioy_202310_backup_merge_mml_pc_external_reference</v>
      </c>
      <c r="AF140" s="143"/>
      <c r="AG140" s="143"/>
      <c r="AH140" s="143"/>
      <c r="AI140" s="143"/>
      <c r="AJ140" s="143"/>
      <c r="AK140" s="143"/>
      <c r="AL140" s="144"/>
      <c r="AM140" s="142" t="str">
        <f t="shared" ca="1" si="69"/>
        <v>経過記録情報モジュール_外部参照レコードテーブルから組入れ条件の第一条件で絞り込んだ結果を格納するテーブル</v>
      </c>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5"/>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53" t="str">
        <f t="shared" si="8"/>
        <v>01</v>
      </c>
      <c r="C141" s="154"/>
      <c r="D141" s="154"/>
      <c r="E141" s="154"/>
      <c r="F141" s="155"/>
      <c r="G141" s="156" t="s">
        <v>195</v>
      </c>
      <c r="H141" s="157"/>
      <c r="I141" s="157"/>
      <c r="J141" s="157"/>
      <c r="K141" s="157"/>
      <c r="L141" s="157"/>
      <c r="M141" s="157"/>
      <c r="N141" s="158"/>
      <c r="O141" s="77" t="s">
        <v>3124</v>
      </c>
      <c r="P141" s="146" t="s">
        <v>1437</v>
      </c>
      <c r="Q141" s="147"/>
      <c r="R141" s="147"/>
      <c r="S141" s="147"/>
      <c r="T141" s="147"/>
      <c r="U141" s="147"/>
      <c r="V141" s="147"/>
      <c r="W141" s="147"/>
      <c r="X141" s="147"/>
      <c r="Y141" s="147"/>
      <c r="Z141" s="147"/>
      <c r="AA141" s="147"/>
      <c r="AB141" s="147"/>
      <c r="AC141" s="147"/>
      <c r="AD141" s="148"/>
      <c r="AE141" s="142" t="str">
        <f t="shared" ca="1" si="68"/>
        <v>sgioy_202310_backup_merge_mml_sm_summary</v>
      </c>
      <c r="AF141" s="143"/>
      <c r="AG141" s="143"/>
      <c r="AH141" s="143"/>
      <c r="AI141" s="143"/>
      <c r="AJ141" s="143"/>
      <c r="AK141" s="143"/>
      <c r="AL141" s="144"/>
      <c r="AM141" s="142" t="str">
        <f t="shared" ca="1" si="69"/>
        <v>臨床サマリーモジュール_臨床サマリー情報レコードテーブルから組入れ条件の第一条件で絞り込んだ結果を格納するテーブル</v>
      </c>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5"/>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53" t="str">
        <f t="shared" si="8"/>
        <v>01</v>
      </c>
      <c r="C142" s="154"/>
      <c r="D142" s="154"/>
      <c r="E142" s="154"/>
      <c r="F142" s="155"/>
      <c r="G142" s="156" t="s">
        <v>195</v>
      </c>
      <c r="H142" s="157"/>
      <c r="I142" s="157"/>
      <c r="J142" s="157"/>
      <c r="K142" s="157"/>
      <c r="L142" s="157"/>
      <c r="M142" s="157"/>
      <c r="N142" s="158"/>
      <c r="O142" s="77" t="s">
        <v>3125</v>
      </c>
      <c r="P142" s="146" t="s">
        <v>1479</v>
      </c>
      <c r="Q142" s="147"/>
      <c r="R142" s="147"/>
      <c r="S142" s="147"/>
      <c r="T142" s="147"/>
      <c r="U142" s="147"/>
      <c r="V142" s="147"/>
      <c r="W142" s="147"/>
      <c r="X142" s="147"/>
      <c r="Y142" s="147"/>
      <c r="Z142" s="147"/>
      <c r="AA142" s="147"/>
      <c r="AB142" s="147"/>
      <c r="AC142" s="147"/>
      <c r="AD142" s="148"/>
      <c r="AE142" s="142" t="str">
        <f t="shared" ca="1" si="68"/>
        <v>sgioy_202310_backup_merge_mml_sm_out_patient</v>
      </c>
      <c r="AF142" s="143"/>
      <c r="AG142" s="143"/>
      <c r="AH142" s="143"/>
      <c r="AI142" s="143"/>
      <c r="AJ142" s="143"/>
      <c r="AK142" s="143"/>
      <c r="AL142" s="144"/>
      <c r="AM142" s="142" t="str">
        <f t="shared" ca="1" si="69"/>
        <v>臨床サマリーモジュール_外来受診レコードテーブルから組入れ条件の第一条件で絞り込んだ結果を格納するテーブル</v>
      </c>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5"/>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53" t="str">
        <f t="shared" si="8"/>
        <v>01</v>
      </c>
      <c r="C143" s="154"/>
      <c r="D143" s="154"/>
      <c r="E143" s="154"/>
      <c r="F143" s="155"/>
      <c r="G143" s="156" t="s">
        <v>195</v>
      </c>
      <c r="H143" s="157"/>
      <c r="I143" s="157"/>
      <c r="J143" s="157"/>
      <c r="K143" s="157"/>
      <c r="L143" s="157"/>
      <c r="M143" s="157"/>
      <c r="N143" s="158"/>
      <c r="O143" s="77" t="s">
        <v>3126</v>
      </c>
      <c r="P143" s="146" t="s">
        <v>1496</v>
      </c>
      <c r="Q143" s="147"/>
      <c r="R143" s="147"/>
      <c r="S143" s="147"/>
      <c r="T143" s="147"/>
      <c r="U143" s="147"/>
      <c r="V143" s="147"/>
      <c r="W143" s="147"/>
      <c r="X143" s="147"/>
      <c r="Y143" s="147"/>
      <c r="Z143" s="147"/>
      <c r="AA143" s="147"/>
      <c r="AB143" s="147"/>
      <c r="AC143" s="147"/>
      <c r="AD143" s="148"/>
      <c r="AE143" s="142" t="str">
        <f t="shared" ca="1" si="68"/>
        <v>sgioy_202310_backup_merge_mml_sm_in_patient</v>
      </c>
      <c r="AF143" s="143"/>
      <c r="AG143" s="143"/>
      <c r="AH143" s="143"/>
      <c r="AI143" s="143"/>
      <c r="AJ143" s="143"/>
      <c r="AK143" s="143"/>
      <c r="AL143" s="144"/>
      <c r="AM143" s="142" t="str">
        <f t="shared" ca="1" si="69"/>
        <v>臨床サマリーモジュール_入院レコードテーブルから組入れ条件の第一条件で絞り込んだ結果を格納するテーブル</v>
      </c>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5"/>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53" t="str">
        <f t="shared" si="8"/>
        <v>01</v>
      </c>
      <c r="C144" s="154"/>
      <c r="D144" s="154"/>
      <c r="E144" s="154"/>
      <c r="F144" s="155"/>
      <c r="G144" s="156" t="s">
        <v>195</v>
      </c>
      <c r="H144" s="157"/>
      <c r="I144" s="157"/>
      <c r="J144" s="157"/>
      <c r="K144" s="157"/>
      <c r="L144" s="157"/>
      <c r="M144" s="157"/>
      <c r="N144" s="158"/>
      <c r="O144" s="77" t="s">
        <v>3127</v>
      </c>
      <c r="P144" s="146" t="s">
        <v>1522</v>
      </c>
      <c r="Q144" s="147"/>
      <c r="R144" s="147"/>
      <c r="S144" s="147"/>
      <c r="T144" s="147"/>
      <c r="U144" s="147"/>
      <c r="V144" s="147"/>
      <c r="W144" s="147"/>
      <c r="X144" s="147"/>
      <c r="Y144" s="147"/>
      <c r="Z144" s="147"/>
      <c r="AA144" s="147"/>
      <c r="AB144" s="147"/>
      <c r="AC144" s="147"/>
      <c r="AD144" s="148"/>
      <c r="AE144" s="142" t="str">
        <f t="shared" ca="1" si="68"/>
        <v>sgioy_202310_backup_merge_mml_sm_clinical_course</v>
      </c>
      <c r="AF144" s="143"/>
      <c r="AG144" s="143"/>
      <c r="AH144" s="143"/>
      <c r="AI144" s="143"/>
      <c r="AJ144" s="143"/>
      <c r="AK144" s="143"/>
      <c r="AL144" s="144"/>
      <c r="AM144" s="142" t="str">
        <f t="shared" ca="1" si="69"/>
        <v>臨床サマリーモジュール_経過記録レコードテーブルから組入れ条件の第一条件で絞り込んだ結果を格納するテーブル</v>
      </c>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5"/>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53" t="str">
        <f t="shared" si="8"/>
        <v>01</v>
      </c>
      <c r="C145" s="154"/>
      <c r="D145" s="154"/>
      <c r="E145" s="154"/>
      <c r="F145" s="155"/>
      <c r="G145" s="156" t="s">
        <v>195</v>
      </c>
      <c r="H145" s="157"/>
      <c r="I145" s="157"/>
      <c r="J145" s="157"/>
      <c r="K145" s="157"/>
      <c r="L145" s="157"/>
      <c r="M145" s="157"/>
      <c r="N145" s="158"/>
      <c r="O145" s="77" t="s">
        <v>3128</v>
      </c>
      <c r="P145" s="146" t="s">
        <v>1537</v>
      </c>
      <c r="Q145" s="147"/>
      <c r="R145" s="147"/>
      <c r="S145" s="147"/>
      <c r="T145" s="147"/>
      <c r="U145" s="147"/>
      <c r="V145" s="147"/>
      <c r="W145" s="147"/>
      <c r="X145" s="147"/>
      <c r="Y145" s="147"/>
      <c r="Z145" s="147"/>
      <c r="AA145" s="147"/>
      <c r="AB145" s="147"/>
      <c r="AC145" s="147"/>
      <c r="AD145" s="148"/>
      <c r="AE145" s="142" t="str">
        <f t="shared" ca="1" si="68"/>
        <v>sgioy_202310_backup_merge_mml_sm_test_results</v>
      </c>
      <c r="AF145" s="143"/>
      <c r="AG145" s="143"/>
      <c r="AH145" s="143"/>
      <c r="AI145" s="143"/>
      <c r="AJ145" s="143"/>
      <c r="AK145" s="143"/>
      <c r="AL145" s="144"/>
      <c r="AM145" s="142" t="str">
        <f t="shared" ca="1" si="69"/>
        <v>臨床サマリーモジュール_検査結果レコードテーブルから組入れ条件の第一条件で絞り込んだ結果を格納するテーブル</v>
      </c>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5"/>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53" t="str">
        <f t="shared" si="8"/>
        <v>01</v>
      </c>
      <c r="C146" s="154"/>
      <c r="D146" s="154"/>
      <c r="E146" s="154"/>
      <c r="F146" s="155"/>
      <c r="G146" s="156" t="s">
        <v>195</v>
      </c>
      <c r="H146" s="157"/>
      <c r="I146" s="157"/>
      <c r="J146" s="157"/>
      <c r="K146" s="157"/>
      <c r="L146" s="157"/>
      <c r="M146" s="157"/>
      <c r="N146" s="158"/>
      <c r="O146" s="77" t="s">
        <v>3129</v>
      </c>
      <c r="P146" s="146" t="s">
        <v>1547</v>
      </c>
      <c r="Q146" s="147"/>
      <c r="R146" s="147"/>
      <c r="S146" s="147"/>
      <c r="T146" s="147"/>
      <c r="U146" s="147"/>
      <c r="V146" s="147"/>
      <c r="W146" s="147"/>
      <c r="X146" s="147"/>
      <c r="Y146" s="147"/>
      <c r="Z146" s="147"/>
      <c r="AA146" s="147"/>
      <c r="AB146" s="147"/>
      <c r="AC146" s="147"/>
      <c r="AD146" s="148"/>
      <c r="AE146" s="142" t="str">
        <f t="shared" ca="1" si="68"/>
        <v>sgioy_202310_backup_merge_mml_lb_test</v>
      </c>
      <c r="AF146" s="143"/>
      <c r="AG146" s="143"/>
      <c r="AH146" s="143"/>
      <c r="AI146" s="143"/>
      <c r="AJ146" s="143"/>
      <c r="AK146" s="143"/>
      <c r="AL146" s="144"/>
      <c r="AM146" s="142" t="str">
        <f t="shared" ca="1" si="69"/>
        <v>検歴情報モジュール_検歴情報テーブルから組入れ条件の第一条件で絞り込んだ結果を格納するテーブル</v>
      </c>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5"/>
      <c r="BK146" s="32" t="str">
        <f t="shared" si="74"/>
        <v>ENT_01_C4-31_バックアップ_検歴情報モジュール_検歴情報.sql</v>
      </c>
      <c r="BL146" s="32">
        <v>1</v>
      </c>
    </row>
    <row r="147" spans="1:64" ht="37.200000000000003" hidden="1" customHeight="1" outlineLevel="1">
      <c r="A147" s="34" t="str">
        <f t="shared" si="73"/>
        <v>バックアップ_検歴情報モジュール_検歴検体材料</v>
      </c>
      <c r="B147" s="153" t="str">
        <f t="shared" si="8"/>
        <v>01</v>
      </c>
      <c r="C147" s="154"/>
      <c r="D147" s="154"/>
      <c r="E147" s="154"/>
      <c r="F147" s="155"/>
      <c r="G147" s="156" t="s">
        <v>195</v>
      </c>
      <c r="H147" s="157"/>
      <c r="I147" s="157"/>
      <c r="J147" s="157"/>
      <c r="K147" s="157"/>
      <c r="L147" s="157"/>
      <c r="M147" s="157"/>
      <c r="N147" s="158"/>
      <c r="O147" s="77" t="s">
        <v>3130</v>
      </c>
      <c r="P147" s="146" t="s">
        <v>1605</v>
      </c>
      <c r="Q147" s="147"/>
      <c r="R147" s="147"/>
      <c r="S147" s="147"/>
      <c r="T147" s="147"/>
      <c r="U147" s="147"/>
      <c r="V147" s="147"/>
      <c r="W147" s="147"/>
      <c r="X147" s="147"/>
      <c r="Y147" s="147"/>
      <c r="Z147" s="147"/>
      <c r="AA147" s="147"/>
      <c r="AB147" s="147"/>
      <c r="AC147" s="147"/>
      <c r="AD147" s="148"/>
      <c r="AE147" s="142" t="str">
        <f t="shared" ca="1" si="68"/>
        <v>sgioy_202310_backup_merge_mml_lb_specimen</v>
      </c>
      <c r="AF147" s="143"/>
      <c r="AG147" s="143"/>
      <c r="AH147" s="143"/>
      <c r="AI147" s="143"/>
      <c r="AJ147" s="143"/>
      <c r="AK147" s="143"/>
      <c r="AL147" s="144"/>
      <c r="AM147" s="142" t="str">
        <f t="shared" ca="1" si="69"/>
        <v>検歴情報モジュール_検歴検体材料テーブルから組入れ条件の第一条件で絞り込んだ結果を格納するテーブル</v>
      </c>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5"/>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53" t="str">
        <f t="shared" si="8"/>
        <v>01</v>
      </c>
      <c r="C148" s="154"/>
      <c r="D148" s="154"/>
      <c r="E148" s="154"/>
      <c r="F148" s="155"/>
      <c r="G148" s="156" t="s">
        <v>195</v>
      </c>
      <c r="H148" s="157"/>
      <c r="I148" s="157"/>
      <c r="J148" s="157"/>
      <c r="K148" s="157"/>
      <c r="L148" s="157"/>
      <c r="M148" s="157"/>
      <c r="N148" s="158"/>
      <c r="O148" s="77" t="s">
        <v>3131</v>
      </c>
      <c r="P148" s="146" t="s">
        <v>1624</v>
      </c>
      <c r="Q148" s="147"/>
      <c r="R148" s="147"/>
      <c r="S148" s="147"/>
      <c r="T148" s="147"/>
      <c r="U148" s="147"/>
      <c r="V148" s="147"/>
      <c r="W148" s="147"/>
      <c r="X148" s="147"/>
      <c r="Y148" s="147"/>
      <c r="Z148" s="147"/>
      <c r="AA148" s="147"/>
      <c r="AB148" s="147"/>
      <c r="AC148" s="147"/>
      <c r="AD148" s="148"/>
      <c r="AE148" s="142" t="str">
        <f t="shared" ca="1" si="68"/>
        <v>sgioy_202310_backup_merge_mml_lb_item</v>
      </c>
      <c r="AF148" s="143"/>
      <c r="AG148" s="143"/>
      <c r="AH148" s="143"/>
      <c r="AI148" s="143"/>
      <c r="AJ148" s="143"/>
      <c r="AK148" s="143"/>
      <c r="AL148" s="144"/>
      <c r="AM148" s="142" t="str">
        <f t="shared" ca="1" si="69"/>
        <v>検歴情報モジュール_検歴項目情報テーブルから組入れ条件の第一条件で絞り込んだ結果を格納するテーブル</v>
      </c>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5"/>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53" t="str">
        <f t="shared" si="8"/>
        <v>01</v>
      </c>
      <c r="C149" s="154"/>
      <c r="D149" s="154"/>
      <c r="E149" s="154"/>
      <c r="F149" s="155"/>
      <c r="G149" s="156" t="s">
        <v>195</v>
      </c>
      <c r="H149" s="157"/>
      <c r="I149" s="157"/>
      <c r="J149" s="157"/>
      <c r="K149" s="157"/>
      <c r="L149" s="157"/>
      <c r="M149" s="157"/>
      <c r="N149" s="158"/>
      <c r="O149" s="77" t="s">
        <v>3132</v>
      </c>
      <c r="P149" s="146" t="s">
        <v>1682</v>
      </c>
      <c r="Q149" s="147"/>
      <c r="R149" s="147"/>
      <c r="S149" s="147"/>
      <c r="T149" s="147"/>
      <c r="U149" s="147"/>
      <c r="V149" s="147"/>
      <c r="W149" s="147"/>
      <c r="X149" s="147"/>
      <c r="Y149" s="147"/>
      <c r="Z149" s="147"/>
      <c r="AA149" s="147"/>
      <c r="AB149" s="147"/>
      <c r="AC149" s="147"/>
      <c r="AD149" s="148"/>
      <c r="AE149" s="142" t="str">
        <f t="shared" ref="AE149:AE151" ca="1" si="76">IFERROR(INDIRECT(P149&amp;"!D8"),"")</f>
        <v>sgioy_202310_backup_merge_mml_vs_vitalsign</v>
      </c>
      <c r="AF149" s="143"/>
      <c r="AG149" s="143"/>
      <c r="AH149" s="143"/>
      <c r="AI149" s="143"/>
      <c r="AJ149" s="143"/>
      <c r="AK149" s="143"/>
      <c r="AL149" s="144"/>
      <c r="AM149" s="142" t="str">
        <f t="shared" ref="AM149:AM151" ca="1" si="77">IFERROR(INDIRECT(P149&amp;"!D9"),"")</f>
        <v>バイタルサインモジュール_バイタルサインテーブルから組入れ条件の第一条件で絞り込んだ結果を格納するテーブル</v>
      </c>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5"/>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53" t="str">
        <f t="shared" si="8"/>
        <v>01</v>
      </c>
      <c r="C150" s="154"/>
      <c r="D150" s="154"/>
      <c r="E150" s="154"/>
      <c r="F150" s="155"/>
      <c r="G150" s="156" t="s">
        <v>195</v>
      </c>
      <c r="H150" s="157"/>
      <c r="I150" s="157"/>
      <c r="J150" s="157"/>
      <c r="K150" s="157"/>
      <c r="L150" s="157"/>
      <c r="M150" s="157"/>
      <c r="N150" s="158"/>
      <c r="O150" s="77" t="s">
        <v>3133</v>
      </c>
      <c r="P150" s="146" t="s">
        <v>1719</v>
      </c>
      <c r="Q150" s="147"/>
      <c r="R150" s="147"/>
      <c r="S150" s="147"/>
      <c r="T150" s="147"/>
      <c r="U150" s="147"/>
      <c r="V150" s="147"/>
      <c r="W150" s="147"/>
      <c r="X150" s="147"/>
      <c r="Y150" s="147"/>
      <c r="Z150" s="147"/>
      <c r="AA150" s="147"/>
      <c r="AB150" s="147"/>
      <c r="AC150" s="147"/>
      <c r="AD150" s="148"/>
      <c r="AE150" s="142" t="str">
        <f t="shared" ca="1" si="76"/>
        <v>sgioy_202310_backup_merge_mml_vs_item</v>
      </c>
      <c r="AF150" s="143"/>
      <c r="AG150" s="143"/>
      <c r="AH150" s="143"/>
      <c r="AI150" s="143"/>
      <c r="AJ150" s="143"/>
      <c r="AK150" s="143"/>
      <c r="AL150" s="144"/>
      <c r="AM150" s="142" t="str">
        <f t="shared" ca="1" si="77"/>
        <v>バイタルサインモジュール_記録項目テーブルから組入れ条件の第一条件で絞り込んだ結果を格納するテーブル</v>
      </c>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5"/>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53" t="str">
        <f t="shared" si="8"/>
        <v>01</v>
      </c>
      <c r="C151" s="154"/>
      <c r="D151" s="154"/>
      <c r="E151" s="154"/>
      <c r="F151" s="155"/>
      <c r="G151" s="156" t="s">
        <v>195</v>
      </c>
      <c r="H151" s="157"/>
      <c r="I151" s="157"/>
      <c r="J151" s="157"/>
      <c r="K151" s="157"/>
      <c r="L151" s="157"/>
      <c r="M151" s="157"/>
      <c r="N151" s="158"/>
      <c r="O151" s="77" t="s">
        <v>3134</v>
      </c>
      <c r="P151" s="146" t="s">
        <v>1733</v>
      </c>
      <c r="Q151" s="147"/>
      <c r="R151" s="147"/>
      <c r="S151" s="147"/>
      <c r="T151" s="147"/>
      <c r="U151" s="147"/>
      <c r="V151" s="147"/>
      <c r="W151" s="147"/>
      <c r="X151" s="147"/>
      <c r="Y151" s="147"/>
      <c r="Z151" s="147"/>
      <c r="AA151" s="147"/>
      <c r="AB151" s="147"/>
      <c r="AC151" s="147"/>
      <c r="AD151" s="148"/>
      <c r="AE151" s="142" t="str">
        <f t="shared" ca="1" si="76"/>
        <v>sgioy_202310_backup_merge_mml_fs_vitalsign</v>
      </c>
      <c r="AF151" s="143"/>
      <c r="AG151" s="143"/>
      <c r="AH151" s="143"/>
      <c r="AI151" s="143"/>
      <c r="AJ151" s="143"/>
      <c r="AK151" s="143"/>
      <c r="AL151" s="144"/>
      <c r="AM151" s="142" t="str">
        <f t="shared" ca="1" si="77"/>
        <v>体温表モジュール_バイタルサインテーブルから組入れ条件の第一条件で絞り込んだ結果を格納するテーブル</v>
      </c>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5"/>
      <c r="BK151" s="32" t="str">
        <f t="shared" si="74"/>
        <v>ENT_01_C4-40_バックアップ_体温表モジュール_バイタルサイン.sql</v>
      </c>
    </row>
    <row r="152" spans="1:64" ht="37.5" hidden="1" customHeight="1" outlineLevel="1">
      <c r="A152" s="34" t="str">
        <f>P152</f>
        <v>バックアップ_体温表モジュール_記録項目</v>
      </c>
      <c r="B152" s="153" t="str">
        <f t="shared" si="8"/>
        <v>01</v>
      </c>
      <c r="C152" s="154"/>
      <c r="D152" s="154"/>
      <c r="E152" s="154"/>
      <c r="F152" s="155"/>
      <c r="G152" s="156" t="s">
        <v>195</v>
      </c>
      <c r="H152" s="157"/>
      <c r="I152" s="157"/>
      <c r="J152" s="157"/>
      <c r="K152" s="157"/>
      <c r="L152" s="157"/>
      <c r="M152" s="157"/>
      <c r="N152" s="158"/>
      <c r="O152" s="77" t="s">
        <v>3135</v>
      </c>
      <c r="P152" s="146" t="s">
        <v>1737</v>
      </c>
      <c r="Q152" s="147"/>
      <c r="R152" s="147"/>
      <c r="S152" s="147"/>
      <c r="T152" s="147"/>
      <c r="U152" s="147"/>
      <c r="V152" s="147"/>
      <c r="W152" s="147"/>
      <c r="X152" s="147"/>
      <c r="Y152" s="147"/>
      <c r="Z152" s="147"/>
      <c r="AA152" s="147"/>
      <c r="AB152" s="147"/>
      <c r="AC152" s="147"/>
      <c r="AD152" s="148"/>
      <c r="AE152" s="142" t="str">
        <f t="shared" ca="1" si="68"/>
        <v>sgioy_202310_backup_merge_mml_fs_item</v>
      </c>
      <c r="AF152" s="143"/>
      <c r="AG152" s="143"/>
      <c r="AH152" s="143"/>
      <c r="AI152" s="143"/>
      <c r="AJ152" s="143"/>
      <c r="AK152" s="143"/>
      <c r="AL152" s="144"/>
      <c r="AM152" s="142" t="str">
        <f t="shared" ca="1" si="69"/>
        <v>体温表モジュール_記録項目テーブルから組入れ条件の第一条件で絞り込んだ結果を格納するテーブル</v>
      </c>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5"/>
      <c r="BK152" s="32" t="str">
        <f t="shared" si="74"/>
        <v>ENT_01_C4-41_バックアップ_体温表モジュール_記録項目.sql</v>
      </c>
    </row>
    <row r="153" spans="1:64" ht="37.5" customHeight="1" collapsed="1" thickTop="1">
      <c r="A153" s="34" t="str">
        <f t="shared" ref="A153:A224" si="78">P153</f>
        <v>組入れ_対象施設</v>
      </c>
      <c r="B153" s="211" t="str">
        <f>TEXT(11,"00")</f>
        <v>11</v>
      </c>
      <c r="C153" s="212"/>
      <c r="D153" s="212"/>
      <c r="E153" s="212"/>
      <c r="F153" s="213"/>
      <c r="G153" s="214" t="s">
        <v>196</v>
      </c>
      <c r="H153" s="215"/>
      <c r="I153" s="215"/>
      <c r="J153" s="215"/>
      <c r="K153" s="215"/>
      <c r="L153" s="215"/>
      <c r="M153" s="215"/>
      <c r="N153" s="216"/>
      <c r="O153" s="77" t="str">
        <f>IF(P153&lt;&gt;"","ENT_"&amp;RIGHT(B153,2)&amp;"_"&amp;TEXT(ROW(O153)-ROW(O$153)+1,"00"),"")</f>
        <v>ENT_11_01</v>
      </c>
      <c r="P153" s="146" t="s">
        <v>3795</v>
      </c>
      <c r="Q153" s="147"/>
      <c r="R153" s="147"/>
      <c r="S153" s="147"/>
      <c r="T153" s="147"/>
      <c r="U153" s="147"/>
      <c r="V153" s="147"/>
      <c r="W153" s="147"/>
      <c r="X153" s="147"/>
      <c r="Y153" s="147"/>
      <c r="Z153" s="147"/>
      <c r="AA153" s="147"/>
      <c r="AB153" s="147"/>
      <c r="AC153" s="147"/>
      <c r="AD153" s="148"/>
      <c r="AE153" s="142" t="str">
        <f t="shared" ref="AE153" ca="1" si="79">IFERROR(INDIRECT(P153&amp;"!D8"),"")</f>
        <v>sgioy_202310_enroll_shisetsu</v>
      </c>
      <c r="AF153" s="143"/>
      <c r="AG153" s="143"/>
      <c r="AH153" s="143"/>
      <c r="AI153" s="143"/>
      <c r="AJ153" s="143"/>
      <c r="AK153" s="143"/>
      <c r="AL153" s="144"/>
      <c r="AM153" s="142" t="str">
        <f t="shared" ref="AM153" ca="1" si="80">IFERROR(INDIRECT(P153&amp;"!D9"),"")</f>
        <v>バックアップ_処理対象施設マスタ管理テーブルから組入れ条件で絞り込んだ結果を登録するテーブル</v>
      </c>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5"/>
      <c r="BK153" s="32" t="str">
        <f t="shared" si="43"/>
        <v>ENT_11_01_組入れ_対象施設.sql</v>
      </c>
    </row>
    <row r="154" spans="1:64" ht="37.5" customHeight="1">
      <c r="A154" s="34" t="str">
        <f t="shared" ref="A154" si="81">P154</f>
        <v>組入れ_対象疾患</v>
      </c>
      <c r="B154" s="153" t="str">
        <f>TEXT(11,"00")</f>
        <v>11</v>
      </c>
      <c r="C154" s="154"/>
      <c r="D154" s="154"/>
      <c r="E154" s="154"/>
      <c r="F154" s="155"/>
      <c r="G154" s="156" t="s">
        <v>196</v>
      </c>
      <c r="H154" s="157"/>
      <c r="I154" s="157"/>
      <c r="J154" s="157"/>
      <c r="K154" s="157"/>
      <c r="L154" s="157"/>
      <c r="M154" s="157"/>
      <c r="N154" s="158"/>
      <c r="O154" s="77" t="str">
        <f>IF(P154&lt;&gt;"","ENT_"&amp;RIGHT(B154,2)&amp;"_"&amp;TEXT(ROW(O154)-ROW(O$153)+1,"00"),"")</f>
        <v>ENT_11_02</v>
      </c>
      <c r="P154" s="146" t="s">
        <v>3796</v>
      </c>
      <c r="Q154" s="147"/>
      <c r="R154" s="147"/>
      <c r="S154" s="147"/>
      <c r="T154" s="147"/>
      <c r="U154" s="147"/>
      <c r="V154" s="147"/>
      <c r="W154" s="147"/>
      <c r="X154" s="147"/>
      <c r="Y154" s="147"/>
      <c r="Z154" s="147"/>
      <c r="AA154" s="147"/>
      <c r="AB154" s="147"/>
      <c r="AC154" s="147"/>
      <c r="AD154" s="148"/>
      <c r="AE154" s="142" t="str">
        <f t="shared" ref="AE154" ca="1" si="82">IFERROR(INDIRECT(P154&amp;"!D8"),"")</f>
        <v>sgioy_202310_enroll_shikkan</v>
      </c>
      <c r="AF154" s="143"/>
      <c r="AG154" s="143"/>
      <c r="AH154" s="143"/>
      <c r="AI154" s="143"/>
      <c r="AJ154" s="143"/>
      <c r="AK154" s="143"/>
      <c r="AL154" s="144"/>
      <c r="AM154" s="142" t="str">
        <f t="shared" ref="AM154" ca="1" si="83">IFERROR(INDIRECT(P154&amp;"!D9"),"")</f>
        <v>MML診断履歴情報から組入れ条件の疾患情報を登録するテーブル</v>
      </c>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5"/>
      <c r="BK154" s="32" t="str">
        <f t="shared" si="43"/>
        <v>ENT_11_02_組入れ_対象疾患.sql</v>
      </c>
    </row>
    <row r="155" spans="1:64" ht="37.5" customHeight="1">
      <c r="A155" s="34" t="str">
        <f t="shared" ref="A155" si="84">P155</f>
        <v>組入れ_対象処方</v>
      </c>
      <c r="B155" s="153" t="str">
        <f>TEXT(11,"00")</f>
        <v>11</v>
      </c>
      <c r="C155" s="154"/>
      <c r="D155" s="154"/>
      <c r="E155" s="154"/>
      <c r="F155" s="155"/>
      <c r="G155" s="156" t="s">
        <v>196</v>
      </c>
      <c r="H155" s="157"/>
      <c r="I155" s="157"/>
      <c r="J155" s="157"/>
      <c r="K155" s="157"/>
      <c r="L155" s="157"/>
      <c r="M155" s="157"/>
      <c r="N155" s="158"/>
      <c r="O155" s="77" t="str">
        <f>IF(P155&lt;&gt;"","ENT_"&amp;RIGHT(B155,2)&amp;"_"&amp;TEXT(ROW(O155)-ROW(O$153)+1,"00"),"")</f>
        <v>ENT_11_03</v>
      </c>
      <c r="P155" s="146" t="s">
        <v>3797</v>
      </c>
      <c r="Q155" s="147"/>
      <c r="R155" s="147"/>
      <c r="S155" s="147"/>
      <c r="T155" s="147"/>
      <c r="U155" s="147"/>
      <c r="V155" s="147"/>
      <c r="W155" s="147"/>
      <c r="X155" s="147"/>
      <c r="Y155" s="147"/>
      <c r="Z155" s="147"/>
      <c r="AA155" s="147"/>
      <c r="AB155" s="147"/>
      <c r="AC155" s="147"/>
      <c r="AD155" s="148"/>
      <c r="AE155" s="142" t="str">
        <f t="shared" ref="AE155" ca="1" si="85">IFERROR(INDIRECT(P155&amp;"!D8"),"")</f>
        <v>sgioy_202310_enroll_shoho</v>
      </c>
      <c r="AF155" s="143"/>
      <c r="AG155" s="143"/>
      <c r="AH155" s="143"/>
      <c r="AI155" s="143"/>
      <c r="AJ155" s="143"/>
      <c r="AK155" s="143"/>
      <c r="AL155" s="144"/>
      <c r="AM155" s="142" t="str">
        <f t="shared" ref="AM155" ca="1" si="86">IFERROR(INDIRECT(P155&amp;"!D9"),"")</f>
        <v>外来EF統合ファイルと様式1から組入れ条件の患者一覧を登録するテーブル</v>
      </c>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5"/>
      <c r="BK155" s="32" t="str">
        <f t="shared" ref="BK155" si="87">IF(P155&lt;&gt;"",O155&amp;"_"&amp;P155&amp;".sql","")</f>
        <v>ENT_11_03_組入れ_対象処方.sql</v>
      </c>
    </row>
    <row r="156" spans="1:64" ht="37.5" customHeight="1">
      <c r="A156" s="34" t="str">
        <f t="shared" ref="A156" si="88">P156</f>
        <v>組入れ_対象患者</v>
      </c>
      <c r="B156" s="153" t="str">
        <f>TEXT(11,"00")</f>
        <v>11</v>
      </c>
      <c r="C156" s="154"/>
      <c r="D156" s="154"/>
      <c r="E156" s="154"/>
      <c r="F156" s="155"/>
      <c r="G156" s="156" t="s">
        <v>196</v>
      </c>
      <c r="H156" s="157"/>
      <c r="I156" s="157"/>
      <c r="J156" s="157"/>
      <c r="K156" s="157"/>
      <c r="L156" s="157"/>
      <c r="M156" s="157"/>
      <c r="N156" s="158"/>
      <c r="O156" s="77" t="str">
        <f>IF(P156&lt;&gt;"","ENT_"&amp;RIGHT(B156,2)&amp;"_"&amp;TEXT(ROW(O156)-ROW(O$153)+1,"00"),"")</f>
        <v>ENT_11_04</v>
      </c>
      <c r="P156" s="146" t="s">
        <v>303</v>
      </c>
      <c r="Q156" s="147"/>
      <c r="R156" s="147"/>
      <c r="S156" s="147"/>
      <c r="T156" s="147"/>
      <c r="U156" s="147"/>
      <c r="V156" s="147"/>
      <c r="W156" s="147"/>
      <c r="X156" s="147"/>
      <c r="Y156" s="147"/>
      <c r="Z156" s="147"/>
      <c r="AA156" s="147"/>
      <c r="AB156" s="147"/>
      <c r="AC156" s="147"/>
      <c r="AD156" s="148"/>
      <c r="AE156" s="142" t="str">
        <f t="shared" ref="AE156" ca="1" si="89">IFERROR(INDIRECT(P156&amp;"!D8"),"")</f>
        <v>sgioy_202310_enroll_kanja</v>
      </c>
      <c r="AF156" s="143"/>
      <c r="AG156" s="143"/>
      <c r="AH156" s="143"/>
      <c r="AI156" s="143"/>
      <c r="AJ156" s="143"/>
      <c r="AK156" s="143"/>
      <c r="AL156" s="144"/>
      <c r="AM156" s="142" t="str">
        <f t="shared" ref="AM156" ca="1" si="90">IFERROR(INDIRECT(P156&amp;"!D9"),"")</f>
        <v>組入れ_対象患者から患者一覧を登録するテーブル</v>
      </c>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5"/>
      <c r="BK156" s="32" t="str">
        <f t="shared" ref="BK156" si="91">IF(P156&lt;&gt;"",O156&amp;"_"&amp;P156&amp;".sql","")</f>
        <v>ENT_11_04_組入れ_対象患者.sql</v>
      </c>
    </row>
    <row r="157" spans="1:64" ht="37.5" customHeight="1">
      <c r="A157" s="34" t="str">
        <f t="shared" si="78"/>
        <v>患者ID一覧マスタ</v>
      </c>
      <c r="B157" s="211" t="str">
        <f t="shared" ref="B157:B165" si="92">TEXT(21,"00")</f>
        <v>21</v>
      </c>
      <c r="C157" s="212"/>
      <c r="D157" s="212"/>
      <c r="E157" s="212"/>
      <c r="F157" s="213"/>
      <c r="G157" s="214" t="s">
        <v>304</v>
      </c>
      <c r="H157" s="215"/>
      <c r="I157" s="215"/>
      <c r="J157" s="215"/>
      <c r="K157" s="215"/>
      <c r="L157" s="215"/>
      <c r="M157" s="215"/>
      <c r="N157" s="216"/>
      <c r="O157" s="77" t="str">
        <f t="shared" ref="O157:O161" si="93">IF(P157&lt;&gt;"","ENT_"&amp;RIGHT(B157,2)&amp;"_"&amp;TEXT(ROW(O157)-ROW(O$157)+1,"00"),"")</f>
        <v>ENT_21_01</v>
      </c>
      <c r="P157" s="146" t="s">
        <v>3811</v>
      </c>
      <c r="Q157" s="147"/>
      <c r="R157" s="147"/>
      <c r="S157" s="147"/>
      <c r="T157" s="147"/>
      <c r="U157" s="147"/>
      <c r="V157" s="147"/>
      <c r="W157" s="147"/>
      <c r="X157" s="147"/>
      <c r="Y157" s="147"/>
      <c r="Z157" s="147"/>
      <c r="AA157" s="147"/>
      <c r="AB157" s="147"/>
      <c r="AC157" s="147"/>
      <c r="AD157" s="148"/>
      <c r="AE157" s="142" t="str">
        <f t="shared" ref="AE157:AE165" ca="1" si="94">IFERROR(INDIRECT(P157&amp;"!D8"),"")</f>
        <v>sgioy_202310_mt_kanja_id_list</v>
      </c>
      <c r="AF157" s="143"/>
      <c r="AG157" s="143"/>
      <c r="AH157" s="143"/>
      <c r="AI157" s="143"/>
      <c r="AJ157" s="143"/>
      <c r="AK157" s="143"/>
      <c r="AL157" s="144"/>
      <c r="AM157" s="142" t="str">
        <f t="shared" ref="AM157:AM165" ca="1" si="95">IFERROR(INDIRECT(P157&amp;"!D9"),"")</f>
        <v>バックアップ_二次利用DB登録患者紐付けデータテーブルから組入れ_対象患者テーブルに存在する患者で絞り込んだ結果を格納するテーブル</v>
      </c>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5"/>
      <c r="BK157" s="32" t="str">
        <f t="shared" si="43"/>
        <v>ENT_21_01_患者ID一覧マスタ.sql</v>
      </c>
    </row>
    <row r="158" spans="1:64" ht="37.5" customHeight="1">
      <c r="A158" s="34" t="str">
        <f t="shared" si="78"/>
        <v>施設マスタ</v>
      </c>
      <c r="B158" s="153" t="str">
        <f t="shared" si="92"/>
        <v>21</v>
      </c>
      <c r="C158" s="154"/>
      <c r="D158" s="154"/>
      <c r="E158" s="154"/>
      <c r="F158" s="155"/>
      <c r="G158" s="156" t="s">
        <v>304</v>
      </c>
      <c r="H158" s="157"/>
      <c r="I158" s="157"/>
      <c r="J158" s="157"/>
      <c r="K158" s="157"/>
      <c r="L158" s="157"/>
      <c r="M158" s="157"/>
      <c r="N158" s="158"/>
      <c r="O158" s="77" t="str">
        <f t="shared" si="93"/>
        <v>ENT_21_02</v>
      </c>
      <c r="P158" s="146" t="s">
        <v>3810</v>
      </c>
      <c r="Q158" s="147"/>
      <c r="R158" s="147"/>
      <c r="S158" s="147"/>
      <c r="T158" s="147"/>
      <c r="U158" s="147"/>
      <c r="V158" s="147"/>
      <c r="W158" s="147"/>
      <c r="X158" s="147"/>
      <c r="Y158" s="147"/>
      <c r="Z158" s="147"/>
      <c r="AA158" s="147"/>
      <c r="AB158" s="147"/>
      <c r="AC158" s="147"/>
      <c r="AD158" s="148"/>
      <c r="AE158" s="142" t="str">
        <f t="shared" ca="1" si="94"/>
        <v>sgioy_202310_mt_shisetsu</v>
      </c>
      <c r="AF158" s="143"/>
      <c r="AG158" s="143"/>
      <c r="AH158" s="143"/>
      <c r="AI158" s="143"/>
      <c r="AJ158" s="143"/>
      <c r="AK158" s="143"/>
      <c r="AL158" s="144"/>
      <c r="AM158" s="142" t="str">
        <f t="shared" ca="1" si="95"/>
        <v>組入れ_対象施設テーブルに施設マスクIDを付与した結果を格納するテーブル</v>
      </c>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5"/>
      <c r="BK158" s="32" t="str">
        <f t="shared" si="43"/>
        <v>ENT_21_02_施設マスタ.sql</v>
      </c>
    </row>
    <row r="159" spans="1:64" ht="37.5" customHeight="1">
      <c r="A159" s="34" t="str">
        <f t="shared" ref="A159:A161" si="96">P159</f>
        <v>患者マスタ</v>
      </c>
      <c r="B159" s="153" t="str">
        <f t="shared" si="92"/>
        <v>21</v>
      </c>
      <c r="C159" s="154"/>
      <c r="D159" s="154"/>
      <c r="E159" s="154"/>
      <c r="F159" s="155"/>
      <c r="G159" s="156" t="s">
        <v>304</v>
      </c>
      <c r="H159" s="157"/>
      <c r="I159" s="157"/>
      <c r="J159" s="157"/>
      <c r="K159" s="157"/>
      <c r="L159" s="157"/>
      <c r="M159" s="157"/>
      <c r="N159" s="158"/>
      <c r="O159" s="77" t="str">
        <f t="shared" si="93"/>
        <v>ENT_21_03</v>
      </c>
      <c r="P159" s="146" t="s">
        <v>185</v>
      </c>
      <c r="Q159" s="147"/>
      <c r="R159" s="147"/>
      <c r="S159" s="147"/>
      <c r="T159" s="147"/>
      <c r="U159" s="147"/>
      <c r="V159" s="147"/>
      <c r="W159" s="147"/>
      <c r="X159" s="147"/>
      <c r="Y159" s="147"/>
      <c r="Z159" s="147"/>
      <c r="AA159" s="147"/>
      <c r="AB159" s="147"/>
      <c r="AC159" s="147"/>
      <c r="AD159" s="148"/>
      <c r="AE159" s="142" t="str">
        <f t="shared" ca="1" si="94"/>
        <v>sgioy_202310_mt_kanja</v>
      </c>
      <c r="AF159" s="143"/>
      <c r="AG159" s="143"/>
      <c r="AH159" s="143"/>
      <c r="AI159" s="143"/>
      <c r="AJ159" s="143"/>
      <c r="AK159" s="143"/>
      <c r="AL159" s="144"/>
      <c r="AM159" s="142" t="str">
        <f t="shared" ca="1" si="95"/>
        <v>患者ID一覧マスタテーブルを施設IDと紐づけIDで集約し、マスクIDを付与した結果を格納するテーブル</v>
      </c>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5"/>
      <c r="BK159" s="32" t="str">
        <f t="shared" ref="BK159:BK161" si="97">IF(P159&lt;&gt;"",O159&amp;"_"&amp;P159&amp;".sql","")</f>
        <v>ENT_21_03_患者マスタ.sql</v>
      </c>
    </row>
    <row r="160" spans="1:64" ht="37.5" customHeight="1">
      <c r="A160" s="34" t="str">
        <f t="shared" si="96"/>
        <v>疾患マスタ</v>
      </c>
      <c r="B160" s="153" t="str">
        <f t="shared" si="92"/>
        <v>21</v>
      </c>
      <c r="C160" s="154"/>
      <c r="D160" s="154"/>
      <c r="E160" s="154"/>
      <c r="F160" s="155"/>
      <c r="G160" s="156" t="s">
        <v>304</v>
      </c>
      <c r="H160" s="157"/>
      <c r="I160" s="157"/>
      <c r="J160" s="157"/>
      <c r="K160" s="157"/>
      <c r="L160" s="157"/>
      <c r="M160" s="157"/>
      <c r="N160" s="158"/>
      <c r="O160" s="77" t="str">
        <f t="shared" si="93"/>
        <v>ENT_21_04</v>
      </c>
      <c r="P160" s="146" t="s">
        <v>3829</v>
      </c>
      <c r="Q160" s="147"/>
      <c r="R160" s="147"/>
      <c r="S160" s="147"/>
      <c r="T160" s="147"/>
      <c r="U160" s="147"/>
      <c r="V160" s="147"/>
      <c r="W160" s="147"/>
      <c r="X160" s="147"/>
      <c r="Y160" s="147"/>
      <c r="Z160" s="147"/>
      <c r="AA160" s="147"/>
      <c r="AB160" s="147"/>
      <c r="AC160" s="147"/>
      <c r="AD160" s="148"/>
      <c r="AE160" s="142" t="str">
        <f t="shared" ca="1" si="94"/>
        <v>sgioy_202310_mt_shikkan</v>
      </c>
      <c r="AF160" s="143"/>
      <c r="AG160" s="143"/>
      <c r="AH160" s="143"/>
      <c r="AI160" s="143"/>
      <c r="AJ160" s="143"/>
      <c r="AK160" s="143"/>
      <c r="AL160" s="144"/>
      <c r="AM160" s="142" t="str">
        <f t="shared" ca="1" si="95"/>
        <v>疾患マスタ情報を格納するテーブル</v>
      </c>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5"/>
      <c r="BK160" s="32" t="str">
        <f t="shared" si="97"/>
        <v>ENT_21_04_疾患マスタ.sql</v>
      </c>
    </row>
    <row r="161" spans="1:63" ht="37.5" customHeight="1">
      <c r="A161" s="34" t="str">
        <f t="shared" si="96"/>
        <v>薬剤マスタ</v>
      </c>
      <c r="B161" s="153" t="str">
        <f t="shared" si="92"/>
        <v>21</v>
      </c>
      <c r="C161" s="154"/>
      <c r="D161" s="154"/>
      <c r="E161" s="154"/>
      <c r="F161" s="155"/>
      <c r="G161" s="156" t="s">
        <v>304</v>
      </c>
      <c r="H161" s="157"/>
      <c r="I161" s="157"/>
      <c r="J161" s="157"/>
      <c r="K161" s="157"/>
      <c r="L161" s="157"/>
      <c r="M161" s="157"/>
      <c r="N161" s="158"/>
      <c r="O161" s="77" t="str">
        <f t="shared" si="93"/>
        <v>ENT_21_05</v>
      </c>
      <c r="P161" s="146" t="s">
        <v>3830</v>
      </c>
      <c r="Q161" s="147"/>
      <c r="R161" s="147"/>
      <c r="S161" s="147"/>
      <c r="T161" s="147"/>
      <c r="U161" s="147"/>
      <c r="V161" s="147"/>
      <c r="W161" s="147"/>
      <c r="X161" s="147"/>
      <c r="Y161" s="147"/>
      <c r="Z161" s="147"/>
      <c r="AA161" s="147"/>
      <c r="AB161" s="147"/>
      <c r="AC161" s="147"/>
      <c r="AD161" s="148"/>
      <c r="AE161" s="142" t="str">
        <f t="shared" ca="1" si="94"/>
        <v>sgioy_202310_mt_yakuzai</v>
      </c>
      <c r="AF161" s="143"/>
      <c r="AG161" s="143"/>
      <c r="AH161" s="143"/>
      <c r="AI161" s="143"/>
      <c r="AJ161" s="143"/>
      <c r="AK161" s="143"/>
      <c r="AL161" s="144"/>
      <c r="AM161" s="142" t="str">
        <f t="shared" ca="1" si="95"/>
        <v>薬剤マスタ情報を格納するテーブル</v>
      </c>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5"/>
      <c r="BK161" s="32" t="str">
        <f t="shared" si="97"/>
        <v>ENT_21_05_薬剤マスタ.sql</v>
      </c>
    </row>
    <row r="162" spans="1:63" ht="37.5" customHeight="1">
      <c r="A162" s="34" t="str">
        <f t="shared" ref="A162" si="98">P162</f>
        <v>MML薬剤名一覧</v>
      </c>
      <c r="B162" s="153" t="str">
        <f t="shared" si="92"/>
        <v>21</v>
      </c>
      <c r="C162" s="154"/>
      <c r="D162" s="154"/>
      <c r="E162" s="154"/>
      <c r="F162" s="155"/>
      <c r="G162" s="156" t="s">
        <v>304</v>
      </c>
      <c r="H162" s="157"/>
      <c r="I162" s="157"/>
      <c r="J162" s="157"/>
      <c r="K162" s="157"/>
      <c r="L162" s="157"/>
      <c r="M162" s="157"/>
      <c r="N162" s="158"/>
      <c r="O162" s="77" t="str">
        <f>IF(P162&lt;&gt;"","ENT_"&amp;RIGHT(B162,2)&amp;"_"&amp;TEXT(ROW(O162)-ROW(O$157)+1,"00"),"")</f>
        <v>ENT_21_06</v>
      </c>
      <c r="P162" s="146" t="s">
        <v>4166</v>
      </c>
      <c r="Q162" s="147"/>
      <c r="R162" s="147"/>
      <c r="S162" s="147"/>
      <c r="T162" s="147"/>
      <c r="U162" s="147"/>
      <c r="V162" s="147"/>
      <c r="W162" s="147"/>
      <c r="X162" s="147"/>
      <c r="Y162" s="147"/>
      <c r="Z162" s="147"/>
      <c r="AA162" s="147"/>
      <c r="AB162" s="147"/>
      <c r="AC162" s="147"/>
      <c r="AD162" s="148"/>
      <c r="AE162" s="142" t="str">
        <f t="shared" ref="AE162" ca="1" si="99">IFERROR(INDIRECT(P162&amp;"!D8"),"")</f>
        <v>sgioy_202310_mt_yakuzai_list_mml</v>
      </c>
      <c r="AF162" s="143"/>
      <c r="AG162" s="143"/>
      <c r="AH162" s="143"/>
      <c r="AI162" s="143"/>
      <c r="AJ162" s="143"/>
      <c r="AK162" s="143"/>
      <c r="AL162" s="144"/>
      <c r="AM162" s="142" t="str">
        <f t="shared" ref="AM162" ca="1" si="100">IFERROR(INDIRECT(P162&amp;"!D9"),"")</f>
        <v>MMLの処方テーブルから対象患者の薬剤名一覧を格納するテーブル</v>
      </c>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5"/>
      <c r="BK162" s="32" t="str">
        <f t="shared" ref="BK162" si="101">IF(P162&lt;&gt;"",O162&amp;"_"&amp;P162&amp;".sql","")</f>
        <v>ENT_21_06_MML薬剤名一覧.sql</v>
      </c>
    </row>
    <row r="163" spans="1:63" ht="37.5" customHeight="1">
      <c r="A163" s="34" t="str">
        <f t="shared" ref="A163" si="102">P163</f>
        <v>MML薬剤マスタ</v>
      </c>
      <c r="B163" s="153" t="str">
        <f t="shared" si="92"/>
        <v>21</v>
      </c>
      <c r="C163" s="154"/>
      <c r="D163" s="154"/>
      <c r="E163" s="154"/>
      <c r="F163" s="155"/>
      <c r="G163" s="156" t="s">
        <v>304</v>
      </c>
      <c r="H163" s="157"/>
      <c r="I163" s="157"/>
      <c r="J163" s="157"/>
      <c r="K163" s="157"/>
      <c r="L163" s="157"/>
      <c r="M163" s="157"/>
      <c r="N163" s="158"/>
      <c r="O163" s="77" t="str">
        <f>IF(P163&lt;&gt;"","ENT_"&amp;RIGHT(B163,2)&amp;"_"&amp;TEXT(ROW(O163)-ROW(O$157)+1,"00"),"")</f>
        <v>ENT_21_07</v>
      </c>
      <c r="P163" s="146" t="s">
        <v>4135</v>
      </c>
      <c r="Q163" s="147"/>
      <c r="R163" s="147"/>
      <c r="S163" s="147"/>
      <c r="T163" s="147"/>
      <c r="U163" s="147"/>
      <c r="V163" s="147"/>
      <c r="W163" s="147"/>
      <c r="X163" s="147"/>
      <c r="Y163" s="147"/>
      <c r="Z163" s="147"/>
      <c r="AA163" s="147"/>
      <c r="AB163" s="147"/>
      <c r="AC163" s="147"/>
      <c r="AD163" s="148"/>
      <c r="AE163" s="142" t="str">
        <f t="shared" ref="AE163" ca="1" si="103">IFERROR(INDIRECT(P163&amp;"!D8"),"")</f>
        <v>sgioy_202310_mt_yakuzai_mml</v>
      </c>
      <c r="AF163" s="143"/>
      <c r="AG163" s="143"/>
      <c r="AH163" s="143"/>
      <c r="AI163" s="143"/>
      <c r="AJ163" s="143"/>
      <c r="AK163" s="143"/>
      <c r="AL163" s="144"/>
      <c r="AM163" s="142" t="str">
        <f t="shared" ref="AM163" ca="1" si="104">IFERROR(INDIRECT(P163&amp;"!D9"),"")</f>
        <v>MML薬剤名称と医薬品コードを紐づけるマスタ</v>
      </c>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5"/>
      <c r="BK163" s="32" t="str">
        <f t="shared" ref="BK163" si="105">IF(P163&lt;&gt;"",O163&amp;"_"&amp;P163&amp;".sql","")</f>
        <v>ENT_21_07_MML薬剤マスタ.sql</v>
      </c>
    </row>
    <row r="164" spans="1:63" ht="37.5" customHeight="1">
      <c r="A164" s="34" t="str">
        <f t="shared" ref="A164" si="106">P164</f>
        <v>診療行為マスタ</v>
      </c>
      <c r="B164" s="153" t="str">
        <f t="shared" si="92"/>
        <v>21</v>
      </c>
      <c r="C164" s="154"/>
      <c r="D164" s="154"/>
      <c r="E164" s="154"/>
      <c r="F164" s="155"/>
      <c r="G164" s="156" t="s">
        <v>304</v>
      </c>
      <c r="H164" s="157"/>
      <c r="I164" s="157"/>
      <c r="J164" s="157"/>
      <c r="K164" s="157"/>
      <c r="L164" s="157"/>
      <c r="M164" s="157"/>
      <c r="N164" s="158"/>
      <c r="O164" s="77" t="str">
        <f>IF(P164&lt;&gt;"","ENT_"&amp;RIGHT(B164,2)&amp;"_"&amp;TEXT(ROW(O164)-ROW(O$157)+1,"00"),"")</f>
        <v>ENT_21_08</v>
      </c>
      <c r="P164" s="146" t="s">
        <v>4172</v>
      </c>
      <c r="Q164" s="147"/>
      <c r="R164" s="147"/>
      <c r="S164" s="147"/>
      <c r="T164" s="147"/>
      <c r="U164" s="147"/>
      <c r="V164" s="147"/>
      <c r="W164" s="147"/>
      <c r="X164" s="147"/>
      <c r="Y164" s="147"/>
      <c r="Z164" s="147"/>
      <c r="AA164" s="147"/>
      <c r="AB164" s="147"/>
      <c r="AC164" s="147"/>
      <c r="AD164" s="148"/>
      <c r="AE164" s="142" t="str">
        <f t="shared" ref="AE164" ca="1" si="107">IFERROR(INDIRECT(P164&amp;"!D8"),"")</f>
        <v>sgioy_202310_mt_shinryo_koi</v>
      </c>
      <c r="AF164" s="143"/>
      <c r="AG164" s="143"/>
      <c r="AH164" s="143"/>
      <c r="AI164" s="143"/>
      <c r="AJ164" s="143"/>
      <c r="AK164" s="143"/>
      <c r="AL164" s="144"/>
      <c r="AM164" s="142" t="str">
        <f t="shared" ref="AM164" ca="1" si="108">IFERROR(INDIRECT(P164&amp;"!D9"),"")</f>
        <v>診療行為マスタ情報を格納するテーブル</v>
      </c>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5"/>
      <c r="BK164" s="32" t="str">
        <f t="shared" ref="BK164" si="109">IF(P164&lt;&gt;"",O164&amp;"_"&amp;P164&amp;".sql","")</f>
        <v>ENT_21_08_診療行為マスタ.sql</v>
      </c>
    </row>
    <row r="165" spans="1:63" ht="37.5" customHeight="1">
      <c r="A165" s="34" t="str">
        <f t="shared" ref="A165" si="110">P165</f>
        <v>検体検査マスタ</v>
      </c>
      <c r="B165" s="153" t="str">
        <f t="shared" si="92"/>
        <v>21</v>
      </c>
      <c r="C165" s="154"/>
      <c r="D165" s="154"/>
      <c r="E165" s="154"/>
      <c r="F165" s="155"/>
      <c r="G165" s="156" t="s">
        <v>304</v>
      </c>
      <c r="H165" s="157"/>
      <c r="I165" s="157"/>
      <c r="J165" s="157"/>
      <c r="K165" s="157"/>
      <c r="L165" s="157"/>
      <c r="M165" s="157"/>
      <c r="N165" s="158"/>
      <c r="O165" s="77" t="str">
        <f>IF(P165&lt;&gt;"","ENT_"&amp;RIGHT(B165,2)&amp;"_"&amp;TEXT(ROW(O165)-ROW(O$157)+1,"00"),"")</f>
        <v>ENT_21_09</v>
      </c>
      <c r="P165" s="146" t="s">
        <v>3831</v>
      </c>
      <c r="Q165" s="147"/>
      <c r="R165" s="147"/>
      <c r="S165" s="147"/>
      <c r="T165" s="147"/>
      <c r="U165" s="147"/>
      <c r="V165" s="147"/>
      <c r="W165" s="147"/>
      <c r="X165" s="147"/>
      <c r="Y165" s="147"/>
      <c r="Z165" s="147"/>
      <c r="AA165" s="147"/>
      <c r="AB165" s="147"/>
      <c r="AC165" s="147"/>
      <c r="AD165" s="148"/>
      <c r="AE165" s="142" t="str">
        <f t="shared" ca="1" si="94"/>
        <v>sgioy_202310_mt_kensa</v>
      </c>
      <c r="AF165" s="143"/>
      <c r="AG165" s="143"/>
      <c r="AH165" s="143"/>
      <c r="AI165" s="143"/>
      <c r="AJ165" s="143"/>
      <c r="AK165" s="143"/>
      <c r="AL165" s="144"/>
      <c r="AM165" s="142" t="str">
        <f t="shared" ca="1" si="95"/>
        <v>検体検査マスタ情報を格納するテーブル</v>
      </c>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5"/>
      <c r="BK165" s="32" t="str">
        <f t="shared" ref="BK165" si="111">IF(P165&lt;&gt;"",O165&amp;"_"&amp;P165&amp;".sql","")</f>
        <v>ENT_21_09_検体検査マスタ.sql</v>
      </c>
    </row>
    <row r="166" spans="1:63" ht="37.5" customHeight="1" outlineLevel="1">
      <c r="A166" s="34" t="str">
        <f t="shared" si="78"/>
        <v>ベース_処方データ</v>
      </c>
      <c r="B166" s="211" t="str">
        <f>TEXT(31,"00")</f>
        <v>31</v>
      </c>
      <c r="C166" s="212"/>
      <c r="D166" s="212"/>
      <c r="E166" s="212"/>
      <c r="F166" s="213"/>
      <c r="G166" s="214" t="s">
        <v>307</v>
      </c>
      <c r="H166" s="215"/>
      <c r="I166" s="215"/>
      <c r="J166" s="215"/>
      <c r="K166" s="215"/>
      <c r="L166" s="215"/>
      <c r="M166" s="215"/>
      <c r="N166" s="216"/>
      <c r="O166" s="77" t="s">
        <v>4087</v>
      </c>
      <c r="P166" s="146" t="s">
        <v>3721</v>
      </c>
      <c r="Q166" s="147"/>
      <c r="R166" s="147"/>
      <c r="S166" s="147"/>
      <c r="T166" s="147"/>
      <c r="U166" s="147"/>
      <c r="V166" s="147"/>
      <c r="W166" s="147"/>
      <c r="X166" s="147"/>
      <c r="Y166" s="147"/>
      <c r="Z166" s="147"/>
      <c r="AA166" s="147"/>
      <c r="AB166" s="147"/>
      <c r="AC166" s="147"/>
      <c r="AD166" s="148"/>
      <c r="AE166" s="142" t="str">
        <f t="shared" ref="AE166" ca="1" si="112">IFERROR(INDIRECT(P166&amp;"!D8"),"")</f>
        <v>sgioy_202310_base_mart_shohou</v>
      </c>
      <c r="AF166" s="143"/>
      <c r="AG166" s="143"/>
      <c r="AH166" s="143"/>
      <c r="AI166" s="143"/>
      <c r="AJ166" s="143"/>
      <c r="AK166" s="143"/>
      <c r="AL166" s="144"/>
      <c r="AM166" s="142" t="str">
        <f t="shared" ref="AM166" ca="1" si="113">IFERROR(INDIRECT(P166&amp;"!D9"),"")</f>
        <v>バックアップ_処方データテーブルから対象患者で絞り込んだ結果を格納するテーブル</v>
      </c>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5"/>
      <c r="BK166" s="32" t="str">
        <f t="shared" si="43"/>
        <v>ENT_31_A1-02_ベース_処方データ.sql</v>
      </c>
    </row>
    <row r="167" spans="1:63" ht="37.5" customHeight="1" outlineLevel="1">
      <c r="A167" s="34" t="str">
        <f t="shared" ref="A167:A201" si="114">P167</f>
        <v>ベース_診療行為データ</v>
      </c>
      <c r="B167" s="153" t="str">
        <f t="shared" ref="B167:B201" si="115">TEXT(31,"00")</f>
        <v>31</v>
      </c>
      <c r="C167" s="154"/>
      <c r="D167" s="154"/>
      <c r="E167" s="154"/>
      <c r="F167" s="155"/>
      <c r="G167" s="156" t="s">
        <v>307</v>
      </c>
      <c r="H167" s="157"/>
      <c r="I167" s="157"/>
      <c r="J167" s="157"/>
      <c r="K167" s="157"/>
      <c r="L167" s="157"/>
      <c r="M167" s="157"/>
      <c r="N167" s="158"/>
      <c r="O167" s="77" t="s">
        <v>4088</v>
      </c>
      <c r="P167" s="146" t="s">
        <v>3709</v>
      </c>
      <c r="Q167" s="147"/>
      <c r="R167" s="147"/>
      <c r="S167" s="147"/>
      <c r="T167" s="147"/>
      <c r="U167" s="147"/>
      <c r="V167" s="147"/>
      <c r="W167" s="147"/>
      <c r="X167" s="147"/>
      <c r="Y167" s="147"/>
      <c r="Z167" s="147"/>
      <c r="AA167" s="147"/>
      <c r="AB167" s="147"/>
      <c r="AC167" s="147"/>
      <c r="AD167" s="148"/>
      <c r="AE167" s="142" t="str">
        <f t="shared" ref="AE167:AE201" ca="1" si="116">IFERROR(INDIRECT(P167&amp;"!D8"),"")</f>
        <v>sgioy_202310_base_mart_shinryou_koui</v>
      </c>
      <c r="AF167" s="143"/>
      <c r="AG167" s="143"/>
      <c r="AH167" s="143"/>
      <c r="AI167" s="143"/>
      <c r="AJ167" s="143"/>
      <c r="AK167" s="143"/>
      <c r="AL167" s="144"/>
      <c r="AM167" s="142" t="str">
        <f t="shared" ref="AM167:AM201" ca="1" si="117">IFERROR(INDIRECT(P167&amp;"!D9"),"")</f>
        <v>バックアップ_診療行為データテーブルから対象患者で絞り込んだ結果を格納するテーブル</v>
      </c>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5"/>
      <c r="BK167" s="32" t="str">
        <f t="shared" ref="BK167:BK201" si="118">IF(P167&lt;&gt;"",O167&amp;"_"&amp;P167&amp;".sql","")</f>
        <v>ENT_31_A1-03_ベース_診療行為データ.sql</v>
      </c>
    </row>
    <row r="168" spans="1:63" ht="37.5" customHeight="1" outlineLevel="1">
      <c r="A168" s="34" t="str">
        <f>P168</f>
        <v>ベース_疾患データ</v>
      </c>
      <c r="B168" s="153" t="str">
        <f t="shared" ref="B168:B202" si="119">TEXT(31,"00")</f>
        <v>31</v>
      </c>
      <c r="C168" s="154"/>
      <c r="D168" s="154"/>
      <c r="E168" s="154"/>
      <c r="F168" s="155"/>
      <c r="G168" s="156" t="s">
        <v>307</v>
      </c>
      <c r="H168" s="157"/>
      <c r="I168" s="157"/>
      <c r="J168" s="157"/>
      <c r="K168" s="157"/>
      <c r="L168" s="157"/>
      <c r="M168" s="157"/>
      <c r="N168" s="158"/>
      <c r="O168" s="77" t="s">
        <v>4123</v>
      </c>
      <c r="P168" s="146" t="s">
        <v>3821</v>
      </c>
      <c r="Q168" s="147"/>
      <c r="R168" s="147"/>
      <c r="S168" s="147"/>
      <c r="T168" s="147"/>
      <c r="U168" s="147"/>
      <c r="V168" s="147"/>
      <c r="W168" s="147"/>
      <c r="X168" s="147"/>
      <c r="Y168" s="147"/>
      <c r="Z168" s="147"/>
      <c r="AA168" s="147"/>
      <c r="AB168" s="147"/>
      <c r="AC168" s="147"/>
      <c r="AD168" s="148"/>
      <c r="AE168" s="142" t="str">
        <f ca="1">IFERROR(INDIRECT(P168&amp;"!D8"),"")</f>
        <v>sgioy_202310_base_mart_shikkan</v>
      </c>
      <c r="AF168" s="143"/>
      <c r="AG168" s="143"/>
      <c r="AH168" s="143"/>
      <c r="AI168" s="143"/>
      <c r="AJ168" s="143"/>
      <c r="AK168" s="143"/>
      <c r="AL168" s="144"/>
      <c r="AM168" s="142" t="str">
        <f ca="1">IFERROR(INDIRECT(P168&amp;"!D9"),"")</f>
        <v>バックアップ_疾患データテーブルから対象患者で絞り込んだ結果を格納するテーブル</v>
      </c>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5"/>
      <c r="BK168" s="32" t="str">
        <f>IF(P168&lt;&gt;"",O168&amp;"_"&amp;P168&amp;".sql","")</f>
        <v>ENT_31_A1-04_ベース_疾患データ.sql</v>
      </c>
    </row>
    <row r="169" spans="1:63" ht="37.5" customHeight="1" outlineLevel="1">
      <c r="A169" s="34" t="str">
        <f t="shared" si="114"/>
        <v>ベース_入院退院データ</v>
      </c>
      <c r="B169" s="153" t="str">
        <f t="shared" si="115"/>
        <v>31</v>
      </c>
      <c r="C169" s="154"/>
      <c r="D169" s="154"/>
      <c r="E169" s="154"/>
      <c r="F169" s="155"/>
      <c r="G169" s="156" t="s">
        <v>307</v>
      </c>
      <c r="H169" s="157"/>
      <c r="I169" s="157"/>
      <c r="J169" s="157"/>
      <c r="K169" s="157"/>
      <c r="L169" s="157"/>
      <c r="M169" s="157"/>
      <c r="N169" s="158"/>
      <c r="O169" s="77" t="s">
        <v>4089</v>
      </c>
      <c r="P169" s="146" t="s">
        <v>3710</v>
      </c>
      <c r="Q169" s="147"/>
      <c r="R169" s="147"/>
      <c r="S169" s="147"/>
      <c r="T169" s="147"/>
      <c r="U169" s="147"/>
      <c r="V169" s="147"/>
      <c r="W169" s="147"/>
      <c r="X169" s="147"/>
      <c r="Y169" s="147"/>
      <c r="Z169" s="147"/>
      <c r="AA169" s="147"/>
      <c r="AB169" s="147"/>
      <c r="AC169" s="147"/>
      <c r="AD169" s="148"/>
      <c r="AE169" s="142" t="str">
        <f t="shared" ca="1" si="116"/>
        <v>sgioy_202310_base_mart_nyu_tai_in</v>
      </c>
      <c r="AF169" s="143"/>
      <c r="AG169" s="143"/>
      <c r="AH169" s="143"/>
      <c r="AI169" s="143"/>
      <c r="AJ169" s="143"/>
      <c r="AK169" s="143"/>
      <c r="AL169" s="144"/>
      <c r="AM169" s="142" t="str">
        <f t="shared" ca="1" si="117"/>
        <v>バックアップ_入院退院データテーブルから対象患者で絞り込んだ結果を格納するテーブル</v>
      </c>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5"/>
      <c r="BK169" s="32" t="str">
        <f t="shared" si="118"/>
        <v>ENT_31_A1-06_ベース_入院退院データ.sql</v>
      </c>
    </row>
    <row r="170" spans="1:63" ht="37.5" customHeight="1" outlineLevel="1">
      <c r="A170" s="34" t="str">
        <f t="shared" si="114"/>
        <v>ベース_患者基本データ</v>
      </c>
      <c r="B170" s="153" t="str">
        <f t="shared" si="115"/>
        <v>31</v>
      </c>
      <c r="C170" s="154"/>
      <c r="D170" s="154"/>
      <c r="E170" s="154"/>
      <c r="F170" s="155"/>
      <c r="G170" s="156" t="s">
        <v>307</v>
      </c>
      <c r="H170" s="157"/>
      <c r="I170" s="157"/>
      <c r="J170" s="157"/>
      <c r="K170" s="157"/>
      <c r="L170" s="157"/>
      <c r="M170" s="157"/>
      <c r="N170" s="158"/>
      <c r="O170" s="77" t="s">
        <v>4090</v>
      </c>
      <c r="P170" s="146" t="s">
        <v>3722</v>
      </c>
      <c r="Q170" s="147"/>
      <c r="R170" s="147"/>
      <c r="S170" s="147"/>
      <c r="T170" s="147"/>
      <c r="U170" s="147"/>
      <c r="V170" s="147"/>
      <c r="W170" s="147"/>
      <c r="X170" s="147"/>
      <c r="Y170" s="147"/>
      <c r="Z170" s="147"/>
      <c r="AA170" s="147"/>
      <c r="AB170" s="147"/>
      <c r="AC170" s="147"/>
      <c r="AD170" s="148"/>
      <c r="AE170" s="142" t="str">
        <f t="shared" ca="1" si="116"/>
        <v>sgioy_202310_base_mart_patient_basic</v>
      </c>
      <c r="AF170" s="143"/>
      <c r="AG170" s="143"/>
      <c r="AH170" s="143"/>
      <c r="AI170" s="143"/>
      <c r="AJ170" s="143"/>
      <c r="AK170" s="143"/>
      <c r="AL170" s="144"/>
      <c r="AM170" s="142" t="str">
        <f t="shared" ca="1" si="117"/>
        <v>バックアップ_患者基本データテーブルから対象患者で絞り込んだ結果を格納するテーブル</v>
      </c>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5"/>
      <c r="BK170" s="32" t="str">
        <f t="shared" si="118"/>
        <v>ENT_31_A1-14_ベース_患者基本データ.sql</v>
      </c>
    </row>
    <row r="171" spans="1:63" ht="37.5" customHeight="1" outlineLevel="1">
      <c r="A171" s="34" t="str">
        <f t="shared" si="114"/>
        <v>ベース_MML共通</v>
      </c>
      <c r="B171" s="153" t="str">
        <f t="shared" si="115"/>
        <v>31</v>
      </c>
      <c r="C171" s="154"/>
      <c r="D171" s="154"/>
      <c r="E171" s="154"/>
      <c r="F171" s="155"/>
      <c r="G171" s="156" t="s">
        <v>307</v>
      </c>
      <c r="H171" s="157"/>
      <c r="I171" s="157"/>
      <c r="J171" s="157"/>
      <c r="K171" s="157"/>
      <c r="L171" s="157"/>
      <c r="M171" s="157"/>
      <c r="N171" s="158"/>
      <c r="O171" s="77" t="s">
        <v>4091</v>
      </c>
      <c r="P171" s="146" t="s">
        <v>3712</v>
      </c>
      <c r="Q171" s="147"/>
      <c r="R171" s="147"/>
      <c r="S171" s="147"/>
      <c r="T171" s="147"/>
      <c r="U171" s="147"/>
      <c r="V171" s="147"/>
      <c r="W171" s="147"/>
      <c r="X171" s="147"/>
      <c r="Y171" s="147"/>
      <c r="Z171" s="147"/>
      <c r="AA171" s="147"/>
      <c r="AB171" s="147"/>
      <c r="AC171" s="147"/>
      <c r="AD171" s="148"/>
      <c r="AE171" s="142" t="str">
        <f t="shared" ca="1" si="116"/>
        <v>sgioy_202310_base_text_mml_common</v>
      </c>
      <c r="AF171" s="143"/>
      <c r="AG171" s="143"/>
      <c r="AH171" s="143"/>
      <c r="AI171" s="143"/>
      <c r="AJ171" s="143"/>
      <c r="AK171" s="143"/>
      <c r="AL171" s="144"/>
      <c r="AM171" s="142" t="str">
        <f t="shared" ca="1" si="117"/>
        <v>バックアップ_MML共通テーブルから対象患者で絞り込んだ結果を格納するテーブル</v>
      </c>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5"/>
      <c r="BK171" s="32" t="str">
        <f t="shared" si="118"/>
        <v>ENT_31_A6-02_ベース_MML共通.sql</v>
      </c>
    </row>
    <row r="172" spans="1:63" ht="37.5" customHeight="1" outlineLevel="1">
      <c r="A172" s="34" t="str">
        <f t="shared" si="114"/>
        <v>ベース_MML_診断履歴情報モジュール_本文</v>
      </c>
      <c r="B172" s="153" t="str">
        <f t="shared" si="115"/>
        <v>31</v>
      </c>
      <c r="C172" s="154"/>
      <c r="D172" s="154"/>
      <c r="E172" s="154"/>
      <c r="F172" s="155"/>
      <c r="G172" s="156" t="s">
        <v>307</v>
      </c>
      <c r="H172" s="157"/>
      <c r="I172" s="157"/>
      <c r="J172" s="157"/>
      <c r="K172" s="157"/>
      <c r="L172" s="157"/>
      <c r="M172" s="157"/>
      <c r="N172" s="158"/>
      <c r="O172" s="77" t="s">
        <v>4092</v>
      </c>
      <c r="P172" s="146" t="s">
        <v>3723</v>
      </c>
      <c r="Q172" s="147"/>
      <c r="R172" s="147"/>
      <c r="S172" s="147"/>
      <c r="T172" s="147"/>
      <c r="U172" s="147"/>
      <c r="V172" s="147"/>
      <c r="W172" s="147"/>
      <c r="X172" s="147"/>
      <c r="Y172" s="147"/>
      <c r="Z172" s="147"/>
      <c r="AA172" s="147"/>
      <c r="AB172" s="147"/>
      <c r="AC172" s="147"/>
      <c r="AD172" s="148"/>
      <c r="AE172" s="142" t="str">
        <f t="shared" ca="1" si="116"/>
        <v>sgioy_202310_base_text_mml_mmlrd_body</v>
      </c>
      <c r="AF172" s="143"/>
      <c r="AG172" s="143"/>
      <c r="AH172" s="143"/>
      <c r="AI172" s="143"/>
      <c r="AJ172" s="143"/>
      <c r="AK172" s="143"/>
      <c r="AL172" s="144"/>
      <c r="AM172" s="142" t="str">
        <f t="shared" ca="1" si="117"/>
        <v>バックアップ_MML_診断履歴情報モジュール_本文テーブルから対象患者で絞り込んだ結果を格納するテーブル</v>
      </c>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5"/>
      <c r="BK172" s="32" t="str">
        <f t="shared" si="118"/>
        <v>ENT_31_A6-03_ベース_MML_診断履歴情報モジュール_本文.sql</v>
      </c>
    </row>
    <row r="173" spans="1:63" ht="37.5" customHeight="1" outlineLevel="1">
      <c r="A173" s="34" t="str">
        <f t="shared" si="114"/>
        <v>ベース_MML_診断履歴情報モジュール_病名</v>
      </c>
      <c r="B173" s="153" t="str">
        <f t="shared" si="115"/>
        <v>31</v>
      </c>
      <c r="C173" s="154"/>
      <c r="D173" s="154"/>
      <c r="E173" s="154"/>
      <c r="F173" s="155"/>
      <c r="G173" s="156" t="s">
        <v>307</v>
      </c>
      <c r="H173" s="157"/>
      <c r="I173" s="157"/>
      <c r="J173" s="157"/>
      <c r="K173" s="157"/>
      <c r="L173" s="157"/>
      <c r="M173" s="157"/>
      <c r="N173" s="158"/>
      <c r="O173" s="77" t="s">
        <v>4093</v>
      </c>
      <c r="P173" s="146" t="s">
        <v>3724</v>
      </c>
      <c r="Q173" s="147"/>
      <c r="R173" s="147"/>
      <c r="S173" s="147"/>
      <c r="T173" s="147"/>
      <c r="U173" s="147"/>
      <c r="V173" s="147"/>
      <c r="W173" s="147"/>
      <c r="X173" s="147"/>
      <c r="Y173" s="147"/>
      <c r="Z173" s="147"/>
      <c r="AA173" s="147"/>
      <c r="AB173" s="147"/>
      <c r="AC173" s="147"/>
      <c r="AD173" s="148"/>
      <c r="AE173" s="142" t="str">
        <f t="shared" ca="1" si="116"/>
        <v>sgioy_202310_base_text_mml_mmlrd_byomei</v>
      </c>
      <c r="AF173" s="143"/>
      <c r="AG173" s="143"/>
      <c r="AH173" s="143"/>
      <c r="AI173" s="143"/>
      <c r="AJ173" s="143"/>
      <c r="AK173" s="143"/>
      <c r="AL173" s="144"/>
      <c r="AM173" s="142" t="str">
        <f t="shared" ca="1" si="117"/>
        <v>バックアップ_MML_診断履歴情報モジュール_病名テーブルから対象患者で絞り込んだ結果を格納するテーブル</v>
      </c>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5"/>
      <c r="BK173" s="32" t="str">
        <f t="shared" si="118"/>
        <v>ENT_31_A6-04_ベース_MML_診断履歴情報モジュール_病名.sql</v>
      </c>
    </row>
    <row r="174" spans="1:63" ht="37.5" customHeight="1" outlineLevel="1">
      <c r="A174" s="34" t="str">
        <f t="shared" ref="A174:A179" si="120">P174</f>
        <v>ベース_MML_検歴情報モジュール_本文</v>
      </c>
      <c r="B174" s="153" t="str">
        <f t="shared" si="119"/>
        <v>31</v>
      </c>
      <c r="C174" s="154"/>
      <c r="D174" s="154"/>
      <c r="E174" s="154"/>
      <c r="F174" s="155"/>
      <c r="G174" s="156" t="s">
        <v>307</v>
      </c>
      <c r="H174" s="157"/>
      <c r="I174" s="157"/>
      <c r="J174" s="157"/>
      <c r="K174" s="157"/>
      <c r="L174" s="157"/>
      <c r="M174" s="157"/>
      <c r="N174" s="158"/>
      <c r="O174" s="77" t="s">
        <v>4117</v>
      </c>
      <c r="P174" s="146" t="s">
        <v>4055</v>
      </c>
      <c r="Q174" s="147"/>
      <c r="R174" s="147"/>
      <c r="S174" s="147"/>
      <c r="T174" s="147"/>
      <c r="U174" s="147"/>
      <c r="V174" s="147"/>
      <c r="W174" s="147"/>
      <c r="X174" s="147"/>
      <c r="Y174" s="147"/>
      <c r="Z174" s="147"/>
      <c r="AA174" s="147"/>
      <c r="AB174" s="147"/>
      <c r="AC174" s="147"/>
      <c r="AD174" s="148"/>
      <c r="AE174" s="142" t="str">
        <f t="shared" ref="AE174:AE179" ca="1" si="121">IFERROR(INDIRECT(P174&amp;"!D8"),"")</f>
        <v>sgioy_202310_base_text_mml_mmllb_body</v>
      </c>
      <c r="AF174" s="143"/>
      <c r="AG174" s="143"/>
      <c r="AH174" s="143"/>
      <c r="AI174" s="143"/>
      <c r="AJ174" s="143"/>
      <c r="AK174" s="143"/>
      <c r="AL174" s="144"/>
      <c r="AM174" s="142" t="str">
        <f t="shared" ref="AM174:AM179" ca="1" si="122">IFERROR(INDIRECT(P174&amp;"!D9"),"")</f>
        <v>ベース_MML_検歴情報モジュール_本文テーブルから組入れ条件の第一条件で絞り込んだ結果を格納するテーブル</v>
      </c>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5"/>
      <c r="BK174" s="32" t="str">
        <f t="shared" ref="BK174:BK179" si="123">IF(P174&lt;&gt;"",O174&amp;"_"&amp;P174&amp;".sql","")</f>
        <v>ENT_31_A6-18_ベース_MML_検歴情報モジュール_本文.sql</v>
      </c>
    </row>
    <row r="175" spans="1:63" ht="37.5" customHeight="1" outlineLevel="1">
      <c r="A175" s="34" t="str">
        <f t="shared" si="120"/>
        <v>ベース_MML_検歴情報モジュール_報告コメント</v>
      </c>
      <c r="B175" s="153" t="str">
        <f t="shared" si="119"/>
        <v>31</v>
      </c>
      <c r="C175" s="154"/>
      <c r="D175" s="154"/>
      <c r="E175" s="154"/>
      <c r="F175" s="155"/>
      <c r="G175" s="156" t="s">
        <v>307</v>
      </c>
      <c r="H175" s="157"/>
      <c r="I175" s="157"/>
      <c r="J175" s="157"/>
      <c r="K175" s="157"/>
      <c r="L175" s="157"/>
      <c r="M175" s="157"/>
      <c r="N175" s="158"/>
      <c r="O175" s="77" t="s">
        <v>4118</v>
      </c>
      <c r="P175" s="146" t="s">
        <v>4056</v>
      </c>
      <c r="Q175" s="147"/>
      <c r="R175" s="147"/>
      <c r="S175" s="147"/>
      <c r="T175" s="147"/>
      <c r="U175" s="147"/>
      <c r="V175" s="147"/>
      <c r="W175" s="147"/>
      <c r="X175" s="147"/>
      <c r="Y175" s="147"/>
      <c r="Z175" s="147"/>
      <c r="AA175" s="147"/>
      <c r="AB175" s="147"/>
      <c r="AC175" s="147"/>
      <c r="AD175" s="148"/>
      <c r="AE175" s="142" t="str">
        <f t="shared" ca="1" si="121"/>
        <v>sgioy_202310_base_text_mml_mmllb_memo</v>
      </c>
      <c r="AF175" s="143"/>
      <c r="AG175" s="143"/>
      <c r="AH175" s="143"/>
      <c r="AI175" s="143"/>
      <c r="AJ175" s="143"/>
      <c r="AK175" s="143"/>
      <c r="AL175" s="144"/>
      <c r="AM175" s="142" t="str">
        <f t="shared" ca="1" si="122"/>
        <v>ベース_MML_検歴情報モジュール_報告コメントテーブルから組入れ条件の第一条件で絞り込んだ結果を格納するテーブル</v>
      </c>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5"/>
      <c r="BK175" s="32" t="str">
        <f t="shared" si="123"/>
        <v>ENT_31_A6-19_ベース_MML_検歴情報モジュール_報告コメント.sql</v>
      </c>
    </row>
    <row r="176" spans="1:63" ht="37.5" customHeight="1" outlineLevel="1">
      <c r="A176" s="34" t="str">
        <f t="shared" si="120"/>
        <v>ベース_MML_検歴情報モジュール_検体検査結果情報</v>
      </c>
      <c r="B176" s="153" t="str">
        <f t="shared" si="119"/>
        <v>31</v>
      </c>
      <c r="C176" s="154"/>
      <c r="D176" s="154"/>
      <c r="E176" s="154"/>
      <c r="F176" s="155"/>
      <c r="G176" s="156" t="s">
        <v>307</v>
      </c>
      <c r="H176" s="157"/>
      <c r="I176" s="157"/>
      <c r="J176" s="157"/>
      <c r="K176" s="157"/>
      <c r="L176" s="157"/>
      <c r="M176" s="157"/>
      <c r="N176" s="158"/>
      <c r="O176" s="77" t="s">
        <v>4119</v>
      </c>
      <c r="P176" s="146" t="s">
        <v>4057</v>
      </c>
      <c r="Q176" s="147"/>
      <c r="R176" s="147"/>
      <c r="S176" s="147"/>
      <c r="T176" s="147"/>
      <c r="U176" s="147"/>
      <c r="V176" s="147"/>
      <c r="W176" s="147"/>
      <c r="X176" s="147"/>
      <c r="Y176" s="147"/>
      <c r="Z176" s="147"/>
      <c r="AA176" s="147"/>
      <c r="AB176" s="147"/>
      <c r="AC176" s="147"/>
      <c r="AD176" s="148"/>
      <c r="AE176" s="142" t="str">
        <f t="shared" ca="1" si="121"/>
        <v>sgioy_202310_base_text_mml_mmllb_labo_test</v>
      </c>
      <c r="AF176" s="143"/>
      <c r="AG176" s="143"/>
      <c r="AH176" s="143"/>
      <c r="AI176" s="143"/>
      <c r="AJ176" s="143"/>
      <c r="AK176" s="143"/>
      <c r="AL176" s="144"/>
      <c r="AM176" s="142" t="str">
        <f t="shared" ca="1" si="122"/>
        <v>ベース_MML_検歴情報モジュール_検体検査結果情報テーブルから組入れ条件の第一条件で絞り込んだ結果を格納するテーブル</v>
      </c>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5"/>
      <c r="BK176" s="32" t="str">
        <f t="shared" si="123"/>
        <v>ENT_31_A6-20_ベース_MML_検歴情報モジュール_検体検査結果情報.sql</v>
      </c>
    </row>
    <row r="177" spans="1:63" ht="37.5" customHeight="1" outlineLevel="1">
      <c r="A177" s="34" t="str">
        <f t="shared" si="120"/>
        <v>ベース_MML_検歴情報モジュール_検体コメント</v>
      </c>
      <c r="B177" s="153" t="str">
        <f t="shared" si="119"/>
        <v>31</v>
      </c>
      <c r="C177" s="154"/>
      <c r="D177" s="154"/>
      <c r="E177" s="154"/>
      <c r="F177" s="155"/>
      <c r="G177" s="156" t="s">
        <v>307</v>
      </c>
      <c r="H177" s="157"/>
      <c r="I177" s="157"/>
      <c r="J177" s="157"/>
      <c r="K177" s="157"/>
      <c r="L177" s="157"/>
      <c r="M177" s="157"/>
      <c r="N177" s="158"/>
      <c r="O177" s="77" t="s">
        <v>4120</v>
      </c>
      <c r="P177" s="146" t="s">
        <v>4058</v>
      </c>
      <c r="Q177" s="147"/>
      <c r="R177" s="147"/>
      <c r="S177" s="147"/>
      <c r="T177" s="147"/>
      <c r="U177" s="147"/>
      <c r="V177" s="147"/>
      <c r="W177" s="147"/>
      <c r="X177" s="147"/>
      <c r="Y177" s="147"/>
      <c r="Z177" s="147"/>
      <c r="AA177" s="147"/>
      <c r="AB177" s="147"/>
      <c r="AC177" s="147"/>
      <c r="AD177" s="148"/>
      <c r="AE177" s="142" t="str">
        <f t="shared" ca="1" si="121"/>
        <v>sgioy_202310_base_text_mml_mmllb_spc_memo</v>
      </c>
      <c r="AF177" s="143"/>
      <c r="AG177" s="143"/>
      <c r="AH177" s="143"/>
      <c r="AI177" s="143"/>
      <c r="AJ177" s="143"/>
      <c r="AK177" s="143"/>
      <c r="AL177" s="144"/>
      <c r="AM177" s="142" t="str">
        <f t="shared" ca="1" si="122"/>
        <v>ベース_MML_検歴情報モジュール_検体コメントテーブルから組入れ条件の第一条件で絞り込んだ結果を格納するテーブル</v>
      </c>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5"/>
      <c r="BK177" s="32" t="str">
        <f t="shared" si="123"/>
        <v>ENT_31_A6-21_ベース_MML_検歴情報モジュール_検体コメント.sql</v>
      </c>
    </row>
    <row r="178" spans="1:63" ht="37.5" customHeight="1" outlineLevel="1">
      <c r="A178" s="34" t="str">
        <f t="shared" si="120"/>
        <v>ベース_MML_検歴情報モジュール_検査項目</v>
      </c>
      <c r="B178" s="153" t="str">
        <f t="shared" si="119"/>
        <v>31</v>
      </c>
      <c r="C178" s="154"/>
      <c r="D178" s="154"/>
      <c r="E178" s="154"/>
      <c r="F178" s="155"/>
      <c r="G178" s="156" t="s">
        <v>307</v>
      </c>
      <c r="H178" s="157"/>
      <c r="I178" s="157"/>
      <c r="J178" s="157"/>
      <c r="K178" s="157"/>
      <c r="L178" s="157"/>
      <c r="M178" s="157"/>
      <c r="N178" s="158"/>
      <c r="O178" s="77" t="s">
        <v>4121</v>
      </c>
      <c r="P178" s="146" t="s">
        <v>4059</v>
      </c>
      <c r="Q178" s="147"/>
      <c r="R178" s="147"/>
      <c r="S178" s="147"/>
      <c r="T178" s="147"/>
      <c r="U178" s="147"/>
      <c r="V178" s="147"/>
      <c r="W178" s="147"/>
      <c r="X178" s="147"/>
      <c r="Y178" s="147"/>
      <c r="Z178" s="147"/>
      <c r="AA178" s="147"/>
      <c r="AB178" s="147"/>
      <c r="AC178" s="147"/>
      <c r="AD178" s="148"/>
      <c r="AE178" s="142" t="str">
        <f t="shared" ca="1" si="121"/>
        <v>sgioy_202310_base_text_mml_mmllb_item</v>
      </c>
      <c r="AF178" s="143"/>
      <c r="AG178" s="143"/>
      <c r="AH178" s="143"/>
      <c r="AI178" s="143"/>
      <c r="AJ178" s="143"/>
      <c r="AK178" s="143"/>
      <c r="AL178" s="144"/>
      <c r="AM178" s="142" t="str">
        <f t="shared" ca="1" si="122"/>
        <v>ベース_MML_検歴情報モジュール_検査項目テーブルから組入れ条件の第一条件で絞り込んだ結果を格納するテーブル</v>
      </c>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5"/>
      <c r="BK178" s="32" t="str">
        <f t="shared" si="123"/>
        <v>ENT_31_A6-22_ベース_MML_検歴情報モジュール_検査項目.sql</v>
      </c>
    </row>
    <row r="179" spans="1:63" ht="37.5" customHeight="1" outlineLevel="1">
      <c r="A179" s="34" t="str">
        <f t="shared" si="120"/>
        <v>ベース_MML_検歴情報モジュール_検査項目コメント</v>
      </c>
      <c r="B179" s="153" t="str">
        <f t="shared" si="119"/>
        <v>31</v>
      </c>
      <c r="C179" s="154"/>
      <c r="D179" s="154"/>
      <c r="E179" s="154"/>
      <c r="F179" s="155"/>
      <c r="G179" s="156" t="s">
        <v>307</v>
      </c>
      <c r="H179" s="157"/>
      <c r="I179" s="157"/>
      <c r="J179" s="157"/>
      <c r="K179" s="157"/>
      <c r="L179" s="157"/>
      <c r="M179" s="157"/>
      <c r="N179" s="158"/>
      <c r="O179" s="77" t="s">
        <v>4122</v>
      </c>
      <c r="P179" s="146" t="s">
        <v>4060</v>
      </c>
      <c r="Q179" s="147"/>
      <c r="R179" s="147"/>
      <c r="S179" s="147"/>
      <c r="T179" s="147"/>
      <c r="U179" s="147"/>
      <c r="V179" s="147"/>
      <c r="W179" s="147"/>
      <c r="X179" s="147"/>
      <c r="Y179" s="147"/>
      <c r="Z179" s="147"/>
      <c r="AA179" s="147"/>
      <c r="AB179" s="147"/>
      <c r="AC179" s="147"/>
      <c r="AD179" s="148"/>
      <c r="AE179" s="142" t="str">
        <f t="shared" ca="1" si="121"/>
        <v>sgioy_202310_base_text_mml_mmllb_item_memo</v>
      </c>
      <c r="AF179" s="143"/>
      <c r="AG179" s="143"/>
      <c r="AH179" s="143"/>
      <c r="AI179" s="143"/>
      <c r="AJ179" s="143"/>
      <c r="AK179" s="143"/>
      <c r="AL179" s="144"/>
      <c r="AM179" s="142" t="str">
        <f t="shared" ca="1" si="122"/>
        <v>ベース_MML_検歴情報モジュール_検査項目コメントテーブルから組入れ条件の第一条件で絞り込んだ結果を格納するテーブル</v>
      </c>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5"/>
      <c r="BK179" s="32" t="str">
        <f t="shared" si="123"/>
        <v>ENT_31_A6-23_ベース_MML_検歴情報モジュール_検査項目コメント.sql</v>
      </c>
    </row>
    <row r="180" spans="1:63" ht="37.5" customHeight="1" outlineLevel="1">
      <c r="A180" s="34" t="str">
        <f t="shared" si="114"/>
        <v>ベース_MML_処方箋モジュール_本文</v>
      </c>
      <c r="B180" s="153" t="str">
        <f t="shared" si="115"/>
        <v>31</v>
      </c>
      <c r="C180" s="154"/>
      <c r="D180" s="154"/>
      <c r="E180" s="154"/>
      <c r="F180" s="155"/>
      <c r="G180" s="156" t="s">
        <v>307</v>
      </c>
      <c r="H180" s="157"/>
      <c r="I180" s="157"/>
      <c r="J180" s="157"/>
      <c r="K180" s="157"/>
      <c r="L180" s="157"/>
      <c r="M180" s="157"/>
      <c r="N180" s="158"/>
      <c r="O180" s="77" t="s">
        <v>4094</v>
      </c>
      <c r="P180" s="146" t="s">
        <v>3725</v>
      </c>
      <c r="Q180" s="147"/>
      <c r="R180" s="147"/>
      <c r="S180" s="147"/>
      <c r="T180" s="147"/>
      <c r="U180" s="147"/>
      <c r="V180" s="147"/>
      <c r="W180" s="147"/>
      <c r="X180" s="147"/>
      <c r="Y180" s="147"/>
      <c r="Z180" s="147"/>
      <c r="AA180" s="147"/>
      <c r="AB180" s="147"/>
      <c r="AC180" s="147"/>
      <c r="AD180" s="148"/>
      <c r="AE180" s="142" t="str">
        <f t="shared" ca="1" si="116"/>
        <v>sgioy_202310_base_text_mml_mmlps_body</v>
      </c>
      <c r="AF180" s="143"/>
      <c r="AG180" s="143"/>
      <c r="AH180" s="143"/>
      <c r="AI180" s="143"/>
      <c r="AJ180" s="143"/>
      <c r="AK180" s="143"/>
      <c r="AL180" s="144"/>
      <c r="AM180" s="142" t="str">
        <f t="shared" ca="1" si="117"/>
        <v>バックアップ_MML_処方箋モジュール_本文テーブルから対象患者で絞り込んだ結果を格納するテーブル</v>
      </c>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5"/>
      <c r="BK180" s="32" t="str">
        <f t="shared" si="118"/>
        <v>ENT_31_A6-24_ベース_MML_処方箋モジュール_本文.sql</v>
      </c>
    </row>
    <row r="181" spans="1:63" ht="37.5" customHeight="1" outlineLevel="1">
      <c r="A181" s="34" t="str">
        <f t="shared" si="114"/>
        <v>ベース_MML_処方箋モジュール_投薬</v>
      </c>
      <c r="B181" s="153" t="str">
        <f t="shared" si="115"/>
        <v>31</v>
      </c>
      <c r="C181" s="154"/>
      <c r="D181" s="154"/>
      <c r="E181" s="154"/>
      <c r="F181" s="155"/>
      <c r="G181" s="156" t="s">
        <v>307</v>
      </c>
      <c r="H181" s="157"/>
      <c r="I181" s="157"/>
      <c r="J181" s="157"/>
      <c r="K181" s="157"/>
      <c r="L181" s="157"/>
      <c r="M181" s="157"/>
      <c r="N181" s="158"/>
      <c r="O181" s="77" t="s">
        <v>4095</v>
      </c>
      <c r="P181" s="146" t="s">
        <v>3726</v>
      </c>
      <c r="Q181" s="147"/>
      <c r="R181" s="147"/>
      <c r="S181" s="147"/>
      <c r="T181" s="147"/>
      <c r="U181" s="147"/>
      <c r="V181" s="147"/>
      <c r="W181" s="147"/>
      <c r="X181" s="147"/>
      <c r="Y181" s="147"/>
      <c r="Z181" s="147"/>
      <c r="AA181" s="147"/>
      <c r="AB181" s="147"/>
      <c r="AC181" s="147"/>
      <c r="AD181" s="148"/>
      <c r="AE181" s="142" t="str">
        <f t="shared" ca="1" si="116"/>
        <v>sgioy_202310_base_text_mml_mmlps_medication</v>
      </c>
      <c r="AF181" s="143"/>
      <c r="AG181" s="143"/>
      <c r="AH181" s="143"/>
      <c r="AI181" s="143"/>
      <c r="AJ181" s="143"/>
      <c r="AK181" s="143"/>
      <c r="AL181" s="144"/>
      <c r="AM181" s="142" t="str">
        <f t="shared" ca="1" si="117"/>
        <v>バックアップ_MML_処方箋モジュール_投薬テーブルから対象患者で絞り込んだ結果を格納するテーブル</v>
      </c>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5"/>
      <c r="BK181" s="32" t="str">
        <f t="shared" si="118"/>
        <v>ENT_31_A6-25_ベース_MML_処方箋モジュール_投薬.sql</v>
      </c>
    </row>
    <row r="182" spans="1:63" ht="37.5" customHeight="1" outlineLevel="1">
      <c r="A182" s="34" t="str">
        <f t="shared" si="114"/>
        <v>ベース_MML_処方箋モジュール_薬剤</v>
      </c>
      <c r="B182" s="153" t="str">
        <f t="shared" si="115"/>
        <v>31</v>
      </c>
      <c r="C182" s="154"/>
      <c r="D182" s="154"/>
      <c r="E182" s="154"/>
      <c r="F182" s="155"/>
      <c r="G182" s="156" t="s">
        <v>307</v>
      </c>
      <c r="H182" s="157"/>
      <c r="I182" s="157"/>
      <c r="J182" s="157"/>
      <c r="K182" s="157"/>
      <c r="L182" s="157"/>
      <c r="M182" s="157"/>
      <c r="N182" s="158"/>
      <c r="O182" s="77" t="s">
        <v>4096</v>
      </c>
      <c r="P182" s="146" t="s">
        <v>3727</v>
      </c>
      <c r="Q182" s="147"/>
      <c r="R182" s="147"/>
      <c r="S182" s="147"/>
      <c r="T182" s="147"/>
      <c r="U182" s="147"/>
      <c r="V182" s="147"/>
      <c r="W182" s="147"/>
      <c r="X182" s="147"/>
      <c r="Y182" s="147"/>
      <c r="Z182" s="147"/>
      <c r="AA182" s="147"/>
      <c r="AB182" s="147"/>
      <c r="AC182" s="147"/>
      <c r="AD182" s="148"/>
      <c r="AE182" s="142" t="str">
        <f t="shared" ca="1" si="116"/>
        <v>sgioy_202310_base_text_mml_mmlps_medicine</v>
      </c>
      <c r="AF182" s="143"/>
      <c r="AG182" s="143"/>
      <c r="AH182" s="143"/>
      <c r="AI182" s="143"/>
      <c r="AJ182" s="143"/>
      <c r="AK182" s="143"/>
      <c r="AL182" s="144"/>
      <c r="AM182" s="142" t="str">
        <f t="shared" ca="1" si="117"/>
        <v>バックアップ_MML_処方箋モジュール_薬剤テーブルから対象患者で絞り込んだ結果を格納するテーブル</v>
      </c>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5"/>
      <c r="BK182" s="32" t="str">
        <f t="shared" si="118"/>
        <v>ENT_31_A6-26_ベース_MML_処方箋モジュール_薬剤.sql</v>
      </c>
    </row>
    <row r="183" spans="1:63" ht="37.5" customHeight="1" outlineLevel="1">
      <c r="A183" s="34" t="str">
        <f t="shared" si="114"/>
        <v>ベース_DPC調査データ_入院EF統合ファイル</v>
      </c>
      <c r="B183" s="153" t="str">
        <f t="shared" si="115"/>
        <v>31</v>
      </c>
      <c r="C183" s="154"/>
      <c r="D183" s="154"/>
      <c r="E183" s="154"/>
      <c r="F183" s="155"/>
      <c r="G183" s="156" t="s">
        <v>307</v>
      </c>
      <c r="H183" s="157"/>
      <c r="I183" s="157"/>
      <c r="J183" s="157"/>
      <c r="K183" s="157"/>
      <c r="L183" s="157"/>
      <c r="M183" s="157"/>
      <c r="N183" s="158"/>
      <c r="O183" s="77" t="s">
        <v>4097</v>
      </c>
      <c r="P183" s="146" t="s">
        <v>3728</v>
      </c>
      <c r="Q183" s="147"/>
      <c r="R183" s="147"/>
      <c r="S183" s="147"/>
      <c r="T183" s="147"/>
      <c r="U183" s="147"/>
      <c r="V183" s="147"/>
      <c r="W183" s="147"/>
      <c r="X183" s="147"/>
      <c r="Y183" s="147"/>
      <c r="Z183" s="147"/>
      <c r="AA183" s="147"/>
      <c r="AB183" s="147"/>
      <c r="AC183" s="147"/>
      <c r="AD183" s="148"/>
      <c r="AE183" s="142" t="str">
        <f t="shared" ca="1" si="116"/>
        <v>sgioy_202310_base_merge_dpc_efn</v>
      </c>
      <c r="AF183" s="143"/>
      <c r="AG183" s="143"/>
      <c r="AH183" s="143"/>
      <c r="AI183" s="143"/>
      <c r="AJ183" s="143"/>
      <c r="AK183" s="143"/>
      <c r="AL183" s="144"/>
      <c r="AM183" s="142" t="str">
        <f t="shared" ca="1" si="117"/>
        <v>バックアップ_DPC調査データ_入院EF統合ファイルテーブルから対象患者で絞り込んだ結果を格納するテーブル</v>
      </c>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5"/>
      <c r="BK183" s="32" t="str">
        <f t="shared" si="118"/>
        <v>ENT_31_C1-02_ベース_DPC調査データ_入院EF統合ファイル.sql</v>
      </c>
    </row>
    <row r="184" spans="1:63" ht="37.5" customHeight="1" outlineLevel="1">
      <c r="A184" s="34" t="str">
        <f t="shared" si="114"/>
        <v>ベース_DPC調査データ_外来EF統合ファイル</v>
      </c>
      <c r="B184" s="153" t="str">
        <f t="shared" si="115"/>
        <v>31</v>
      </c>
      <c r="C184" s="154"/>
      <c r="D184" s="154"/>
      <c r="E184" s="154"/>
      <c r="F184" s="155"/>
      <c r="G184" s="156" t="s">
        <v>307</v>
      </c>
      <c r="H184" s="157"/>
      <c r="I184" s="157"/>
      <c r="J184" s="157"/>
      <c r="K184" s="157"/>
      <c r="L184" s="157"/>
      <c r="M184" s="157"/>
      <c r="N184" s="158"/>
      <c r="O184" s="77" t="s">
        <v>4098</v>
      </c>
      <c r="P184" s="146" t="s">
        <v>309</v>
      </c>
      <c r="Q184" s="147"/>
      <c r="R184" s="147"/>
      <c r="S184" s="147"/>
      <c r="T184" s="147"/>
      <c r="U184" s="147"/>
      <c r="V184" s="147"/>
      <c r="W184" s="147"/>
      <c r="X184" s="147"/>
      <c r="Y184" s="147"/>
      <c r="Z184" s="147"/>
      <c r="AA184" s="147"/>
      <c r="AB184" s="147"/>
      <c r="AC184" s="147"/>
      <c r="AD184" s="148"/>
      <c r="AE184" s="142" t="str">
        <f t="shared" ca="1" si="116"/>
        <v>sgioy_202310_base_merge_dpc_efg</v>
      </c>
      <c r="AF184" s="143"/>
      <c r="AG184" s="143"/>
      <c r="AH184" s="143"/>
      <c r="AI184" s="143"/>
      <c r="AJ184" s="143"/>
      <c r="AK184" s="143"/>
      <c r="AL184" s="144"/>
      <c r="AM184" s="142" t="str">
        <f t="shared" ca="1" si="117"/>
        <v>バックアップ_DPC調査データ_外来EF統合ファイルテーブルから対象患者で絞り込んだ結果を格納するテーブル</v>
      </c>
      <c r="AN184" s="143"/>
      <c r="AO184" s="143"/>
      <c r="AP184" s="143"/>
      <c r="AQ184" s="143"/>
      <c r="AR184" s="143"/>
      <c r="AS184" s="143"/>
      <c r="AT184" s="143"/>
      <c r="AU184" s="143"/>
      <c r="AV184" s="143"/>
      <c r="AW184" s="143"/>
      <c r="AX184" s="143"/>
      <c r="AY184" s="143"/>
      <c r="AZ184" s="143"/>
      <c r="BA184" s="143"/>
      <c r="BB184" s="143"/>
      <c r="BC184" s="143"/>
      <c r="BD184" s="143"/>
      <c r="BE184" s="143"/>
      <c r="BF184" s="143"/>
      <c r="BG184" s="143"/>
      <c r="BH184" s="143"/>
      <c r="BI184" s="143"/>
      <c r="BJ184" s="145"/>
      <c r="BK184" s="32" t="str">
        <f t="shared" si="118"/>
        <v>ENT_31_C1-03_ベース_DPC調査データ_外来EF統合ファイル.sql</v>
      </c>
    </row>
    <row r="185" spans="1:63" ht="37.5" customHeight="1" outlineLevel="1">
      <c r="A185" s="34" t="str">
        <f t="shared" si="114"/>
        <v>ベース_DPC調査データ_様式1</v>
      </c>
      <c r="B185" s="153" t="str">
        <f t="shared" si="115"/>
        <v>31</v>
      </c>
      <c r="C185" s="154"/>
      <c r="D185" s="154"/>
      <c r="E185" s="154"/>
      <c r="F185" s="155"/>
      <c r="G185" s="156" t="s">
        <v>307</v>
      </c>
      <c r="H185" s="157"/>
      <c r="I185" s="157"/>
      <c r="J185" s="157"/>
      <c r="K185" s="157"/>
      <c r="L185" s="157"/>
      <c r="M185" s="157"/>
      <c r="N185" s="158"/>
      <c r="O185" s="77" t="s">
        <v>4099</v>
      </c>
      <c r="P185" s="146" t="s">
        <v>310</v>
      </c>
      <c r="Q185" s="147"/>
      <c r="R185" s="147"/>
      <c r="S185" s="147"/>
      <c r="T185" s="147"/>
      <c r="U185" s="147"/>
      <c r="V185" s="147"/>
      <c r="W185" s="147"/>
      <c r="X185" s="147"/>
      <c r="Y185" s="147"/>
      <c r="Z185" s="147"/>
      <c r="AA185" s="147"/>
      <c r="AB185" s="147"/>
      <c r="AC185" s="147"/>
      <c r="AD185" s="148"/>
      <c r="AE185" s="142" t="str">
        <f t="shared" ca="1" si="116"/>
        <v>sgioy_202310_base_merge_dpc_ff1</v>
      </c>
      <c r="AF185" s="143"/>
      <c r="AG185" s="143"/>
      <c r="AH185" s="143"/>
      <c r="AI185" s="143"/>
      <c r="AJ185" s="143"/>
      <c r="AK185" s="143"/>
      <c r="AL185" s="144"/>
      <c r="AM185" s="142" t="str">
        <f t="shared" ca="1" si="117"/>
        <v>バックアップ_DPC調査データ_様式1テーブルから対象患者で絞り込んだ結果を格納するテーブル</v>
      </c>
      <c r="AN185" s="143"/>
      <c r="AO185" s="143"/>
      <c r="AP185" s="143"/>
      <c r="AQ185" s="143"/>
      <c r="AR185" s="143"/>
      <c r="AS185" s="143"/>
      <c r="AT185" s="143"/>
      <c r="AU185" s="143"/>
      <c r="AV185" s="143"/>
      <c r="AW185" s="143"/>
      <c r="AX185" s="143"/>
      <c r="AY185" s="143"/>
      <c r="AZ185" s="143"/>
      <c r="BA185" s="143"/>
      <c r="BB185" s="143"/>
      <c r="BC185" s="143"/>
      <c r="BD185" s="143"/>
      <c r="BE185" s="143"/>
      <c r="BF185" s="143"/>
      <c r="BG185" s="143"/>
      <c r="BH185" s="143"/>
      <c r="BI185" s="143"/>
      <c r="BJ185" s="145"/>
      <c r="BK185" s="32" t="str">
        <f t="shared" si="118"/>
        <v>ENT_31_C1-05_ベース_DPC調査データ_様式1.sql</v>
      </c>
    </row>
    <row r="186" spans="1:63" ht="37.5" customHeight="1" outlineLevel="1">
      <c r="A186" s="34" t="str">
        <f t="shared" si="114"/>
        <v>ベース_DPC調査データ_様式1_診断情報_併存症</v>
      </c>
      <c r="B186" s="153" t="str">
        <f t="shared" si="115"/>
        <v>31</v>
      </c>
      <c r="C186" s="154"/>
      <c r="D186" s="154"/>
      <c r="E186" s="154"/>
      <c r="F186" s="155"/>
      <c r="G186" s="156" t="s">
        <v>307</v>
      </c>
      <c r="H186" s="157"/>
      <c r="I186" s="157"/>
      <c r="J186" s="157"/>
      <c r="K186" s="157"/>
      <c r="L186" s="157"/>
      <c r="M186" s="157"/>
      <c r="N186" s="158"/>
      <c r="O186" s="77" t="s">
        <v>4100</v>
      </c>
      <c r="P186" s="146" t="s">
        <v>3729</v>
      </c>
      <c r="Q186" s="147"/>
      <c r="R186" s="147"/>
      <c r="S186" s="147"/>
      <c r="T186" s="147"/>
      <c r="U186" s="147"/>
      <c r="V186" s="147"/>
      <c r="W186" s="147"/>
      <c r="X186" s="147"/>
      <c r="Y186" s="147"/>
      <c r="Z186" s="147"/>
      <c r="AA186" s="147"/>
      <c r="AB186" s="147"/>
      <c r="AC186" s="147"/>
      <c r="AD186" s="148"/>
      <c r="AE186" s="142" t="str">
        <f t="shared" ca="1" si="116"/>
        <v>sgioy_202310_base_merge_dpc_ff1_a006040</v>
      </c>
      <c r="AF186" s="143"/>
      <c r="AG186" s="143"/>
      <c r="AH186" s="143"/>
      <c r="AI186" s="143"/>
      <c r="AJ186" s="143"/>
      <c r="AK186" s="143"/>
      <c r="AL186" s="144"/>
      <c r="AM186" s="142" t="str">
        <f t="shared" ca="1" si="117"/>
        <v>バックアップ_DPC調査データ_様式1_診断情報_併存症テーブルから対象患者で絞り込んだ結果を格納するテーブル</v>
      </c>
      <c r="AN186" s="143"/>
      <c r="AO186" s="143"/>
      <c r="AP186" s="143"/>
      <c r="AQ186" s="143"/>
      <c r="AR186" s="143"/>
      <c r="AS186" s="143"/>
      <c r="AT186" s="143"/>
      <c r="AU186" s="143"/>
      <c r="AV186" s="143"/>
      <c r="AW186" s="143"/>
      <c r="AX186" s="143"/>
      <c r="AY186" s="143"/>
      <c r="AZ186" s="143"/>
      <c r="BA186" s="143"/>
      <c r="BB186" s="143"/>
      <c r="BC186" s="143"/>
      <c r="BD186" s="143"/>
      <c r="BE186" s="143"/>
      <c r="BF186" s="143"/>
      <c r="BG186" s="143"/>
      <c r="BH186" s="143"/>
      <c r="BI186" s="143"/>
      <c r="BJ186" s="145"/>
      <c r="BK186" s="32" t="str">
        <f t="shared" si="118"/>
        <v>ENT_31_C1-07_ベース_DPC調査データ_様式1_診断情報_併存症.sql</v>
      </c>
    </row>
    <row r="187" spans="1:63" ht="37.5" customHeight="1" outlineLevel="1">
      <c r="A187" s="34" t="str">
        <f t="shared" si="114"/>
        <v>ベース_DPC調査データ_様式1_診断情報_続発症</v>
      </c>
      <c r="B187" s="153" t="str">
        <f t="shared" si="115"/>
        <v>31</v>
      </c>
      <c r="C187" s="154"/>
      <c r="D187" s="154"/>
      <c r="E187" s="154"/>
      <c r="F187" s="155"/>
      <c r="G187" s="156" t="s">
        <v>307</v>
      </c>
      <c r="H187" s="157"/>
      <c r="I187" s="157"/>
      <c r="J187" s="157"/>
      <c r="K187" s="157"/>
      <c r="L187" s="157"/>
      <c r="M187" s="157"/>
      <c r="N187" s="158"/>
      <c r="O187" s="77" t="s">
        <v>4101</v>
      </c>
      <c r="P187" s="146" t="s">
        <v>3730</v>
      </c>
      <c r="Q187" s="147"/>
      <c r="R187" s="147"/>
      <c r="S187" s="147"/>
      <c r="T187" s="147"/>
      <c r="U187" s="147"/>
      <c r="V187" s="147"/>
      <c r="W187" s="147"/>
      <c r="X187" s="147"/>
      <c r="Y187" s="147"/>
      <c r="Z187" s="147"/>
      <c r="AA187" s="147"/>
      <c r="AB187" s="147"/>
      <c r="AC187" s="147"/>
      <c r="AD187" s="148"/>
      <c r="AE187" s="142" t="str">
        <f t="shared" ca="1" si="116"/>
        <v>sgioy_202310_base_merge_dpc_ff1_a006050</v>
      </c>
      <c r="AF187" s="143"/>
      <c r="AG187" s="143"/>
      <c r="AH187" s="143"/>
      <c r="AI187" s="143"/>
      <c r="AJ187" s="143"/>
      <c r="AK187" s="143"/>
      <c r="AL187" s="144"/>
      <c r="AM187" s="142" t="str">
        <f t="shared" ca="1" si="117"/>
        <v>バックアップ_DPC調査データ_様式1_診断情報_続発症テーブルから対象患者で絞り込んだ結果を格納するテーブル</v>
      </c>
      <c r="AN187" s="143"/>
      <c r="AO187" s="143"/>
      <c r="AP187" s="143"/>
      <c r="AQ187" s="143"/>
      <c r="AR187" s="143"/>
      <c r="AS187" s="143"/>
      <c r="AT187" s="143"/>
      <c r="AU187" s="143"/>
      <c r="AV187" s="143"/>
      <c r="AW187" s="143"/>
      <c r="AX187" s="143"/>
      <c r="AY187" s="143"/>
      <c r="AZ187" s="143"/>
      <c r="BA187" s="143"/>
      <c r="BB187" s="143"/>
      <c r="BC187" s="143"/>
      <c r="BD187" s="143"/>
      <c r="BE187" s="143"/>
      <c r="BF187" s="143"/>
      <c r="BG187" s="143"/>
      <c r="BH187" s="143"/>
      <c r="BI187" s="143"/>
      <c r="BJ187" s="145"/>
      <c r="BK187" s="32" t="str">
        <f t="shared" si="118"/>
        <v>ENT_31_C1-08_ベース_DPC調査データ_様式1_診断情報_続発症.sql</v>
      </c>
    </row>
    <row r="188" spans="1:63" ht="37.5" customHeight="1" outlineLevel="1">
      <c r="A188" s="34" t="str">
        <f t="shared" si="114"/>
        <v>ベース_診断履歴情報モジュール_診断履歴情報レコード</v>
      </c>
      <c r="B188" s="153" t="str">
        <f t="shared" si="115"/>
        <v>31</v>
      </c>
      <c r="C188" s="154"/>
      <c r="D188" s="154"/>
      <c r="E188" s="154"/>
      <c r="F188" s="155"/>
      <c r="G188" s="156" t="s">
        <v>307</v>
      </c>
      <c r="H188" s="157"/>
      <c r="I188" s="157"/>
      <c r="J188" s="157"/>
      <c r="K188" s="157"/>
      <c r="L188" s="157"/>
      <c r="M188" s="157"/>
      <c r="N188" s="158"/>
      <c r="O188" s="77" t="s">
        <v>4102</v>
      </c>
      <c r="P188" s="146" t="s">
        <v>3693</v>
      </c>
      <c r="Q188" s="147"/>
      <c r="R188" s="147"/>
      <c r="S188" s="147"/>
      <c r="T188" s="147"/>
      <c r="U188" s="147"/>
      <c r="V188" s="147"/>
      <c r="W188" s="147"/>
      <c r="X188" s="147"/>
      <c r="Y188" s="147"/>
      <c r="Z188" s="147"/>
      <c r="AA188" s="147"/>
      <c r="AB188" s="147"/>
      <c r="AC188" s="147"/>
      <c r="AD188" s="148"/>
      <c r="AE188" s="142" t="str">
        <f t="shared" ca="1" si="116"/>
        <v>sgioy_202310_base_merge_mml_rd_register</v>
      </c>
      <c r="AF188" s="143"/>
      <c r="AG188" s="143"/>
      <c r="AH188" s="143"/>
      <c r="AI188" s="143"/>
      <c r="AJ188" s="143"/>
      <c r="AK188" s="143"/>
      <c r="AL188" s="144"/>
      <c r="AM188" s="142" t="str">
        <f t="shared" ca="1" si="117"/>
        <v>バックアップ_診断履歴情報モジュール_診断履歴情報レコードテーブルから対象患者で絞り込んだ結果を格納するテーブル</v>
      </c>
      <c r="AN188" s="143"/>
      <c r="AO188" s="143"/>
      <c r="AP188" s="143"/>
      <c r="AQ188" s="143"/>
      <c r="AR188" s="143"/>
      <c r="AS188" s="143"/>
      <c r="AT188" s="143"/>
      <c r="AU188" s="143"/>
      <c r="AV188" s="143"/>
      <c r="AW188" s="143"/>
      <c r="AX188" s="143"/>
      <c r="AY188" s="143"/>
      <c r="AZ188" s="143"/>
      <c r="BA188" s="143"/>
      <c r="BB188" s="143"/>
      <c r="BC188" s="143"/>
      <c r="BD188" s="143"/>
      <c r="BE188" s="143"/>
      <c r="BF188" s="143"/>
      <c r="BG188" s="143"/>
      <c r="BH188" s="143"/>
      <c r="BI188" s="143"/>
      <c r="BJ188" s="145"/>
      <c r="BK188" s="32" t="str">
        <f t="shared" si="118"/>
        <v>ENT_31_C4-03_ベース_診断履歴情報モジュール_診断履歴情報レコード.sql</v>
      </c>
    </row>
    <row r="189" spans="1:63" ht="37.5" customHeight="1" outlineLevel="1">
      <c r="A189" s="34" t="str">
        <f t="shared" si="114"/>
        <v>ベース_診断履歴情報モジュール_診断病名レコード</v>
      </c>
      <c r="B189" s="153" t="str">
        <f t="shared" si="115"/>
        <v>31</v>
      </c>
      <c r="C189" s="154"/>
      <c r="D189" s="154"/>
      <c r="E189" s="154"/>
      <c r="F189" s="155"/>
      <c r="G189" s="156" t="s">
        <v>307</v>
      </c>
      <c r="H189" s="157"/>
      <c r="I189" s="157"/>
      <c r="J189" s="157"/>
      <c r="K189" s="157"/>
      <c r="L189" s="157"/>
      <c r="M189" s="157"/>
      <c r="N189" s="158"/>
      <c r="O189" s="77" t="s">
        <v>4103</v>
      </c>
      <c r="P189" s="146" t="s">
        <v>3731</v>
      </c>
      <c r="Q189" s="147"/>
      <c r="R189" s="147"/>
      <c r="S189" s="147"/>
      <c r="T189" s="147"/>
      <c r="U189" s="147"/>
      <c r="V189" s="147"/>
      <c r="W189" s="147"/>
      <c r="X189" s="147"/>
      <c r="Y189" s="147"/>
      <c r="Z189" s="147"/>
      <c r="AA189" s="147"/>
      <c r="AB189" s="147"/>
      <c r="AC189" s="147"/>
      <c r="AD189" s="148"/>
      <c r="AE189" s="142" t="str">
        <f t="shared" ca="1" si="116"/>
        <v>sgioy_202310_base_merge_mml_rd_byomei</v>
      </c>
      <c r="AF189" s="143"/>
      <c r="AG189" s="143"/>
      <c r="AH189" s="143"/>
      <c r="AI189" s="143"/>
      <c r="AJ189" s="143"/>
      <c r="AK189" s="143"/>
      <c r="AL189" s="144"/>
      <c r="AM189" s="142" t="str">
        <f t="shared" ca="1" si="117"/>
        <v>バックアップ_診断履歴情報モジュール_診断病名レコードテーブルから対象患者で絞り込んだ結果を格納するテーブル</v>
      </c>
      <c r="AN189" s="143"/>
      <c r="AO189" s="143"/>
      <c r="AP189" s="143"/>
      <c r="AQ189" s="143"/>
      <c r="AR189" s="143"/>
      <c r="AS189" s="143"/>
      <c r="AT189" s="143"/>
      <c r="AU189" s="143"/>
      <c r="AV189" s="143"/>
      <c r="AW189" s="143"/>
      <c r="AX189" s="143"/>
      <c r="AY189" s="143"/>
      <c r="AZ189" s="143"/>
      <c r="BA189" s="143"/>
      <c r="BB189" s="143"/>
      <c r="BC189" s="143"/>
      <c r="BD189" s="143"/>
      <c r="BE189" s="143"/>
      <c r="BF189" s="143"/>
      <c r="BG189" s="143"/>
      <c r="BH189" s="143"/>
      <c r="BI189" s="143"/>
      <c r="BJ189" s="145"/>
      <c r="BK189" s="32" t="str">
        <f t="shared" si="118"/>
        <v>ENT_31_C4-04_ベース_診断履歴情報モジュール_診断病名レコード.sql</v>
      </c>
    </row>
    <row r="190" spans="1:63" ht="37.5" customHeight="1" outlineLevel="1">
      <c r="A190" s="34" t="str">
        <f t="shared" si="114"/>
        <v>ベース_経過記録情報モジュール_経過記録情報レコード</v>
      </c>
      <c r="B190" s="153" t="str">
        <f t="shared" si="115"/>
        <v>31</v>
      </c>
      <c r="C190" s="154"/>
      <c r="D190" s="154"/>
      <c r="E190" s="154"/>
      <c r="F190" s="155"/>
      <c r="G190" s="156" t="s">
        <v>307</v>
      </c>
      <c r="H190" s="157"/>
      <c r="I190" s="157"/>
      <c r="J190" s="157"/>
      <c r="K190" s="157"/>
      <c r="L190" s="157"/>
      <c r="M190" s="157"/>
      <c r="N190" s="158"/>
      <c r="O190" s="77" t="s">
        <v>4104</v>
      </c>
      <c r="P190" s="146" t="s">
        <v>3732</v>
      </c>
      <c r="Q190" s="147"/>
      <c r="R190" s="147"/>
      <c r="S190" s="147"/>
      <c r="T190" s="147"/>
      <c r="U190" s="147"/>
      <c r="V190" s="147"/>
      <c r="W190" s="147"/>
      <c r="X190" s="147"/>
      <c r="Y190" s="147"/>
      <c r="Z190" s="147"/>
      <c r="AA190" s="147"/>
      <c r="AB190" s="147"/>
      <c r="AC190" s="147"/>
      <c r="AD190" s="148"/>
      <c r="AE190" s="142" t="str">
        <f t="shared" ca="1" si="116"/>
        <v>sgioy_202310_base_merge_mml_pc_progress_course</v>
      </c>
      <c r="AF190" s="143"/>
      <c r="AG190" s="143"/>
      <c r="AH190" s="143"/>
      <c r="AI190" s="143"/>
      <c r="AJ190" s="143"/>
      <c r="AK190" s="143"/>
      <c r="AL190" s="144"/>
      <c r="AM190" s="142" t="str">
        <f t="shared" ca="1" si="117"/>
        <v>バックアップ_経過記録情報モジュール_経過記録情報レコードテーブルから対象患者で絞り込んだ結果を格納するテーブル</v>
      </c>
      <c r="AN190" s="143"/>
      <c r="AO190" s="143"/>
      <c r="AP190" s="143"/>
      <c r="AQ190" s="143"/>
      <c r="AR190" s="143"/>
      <c r="AS190" s="143"/>
      <c r="AT190" s="143"/>
      <c r="AU190" s="143"/>
      <c r="AV190" s="143"/>
      <c r="AW190" s="143"/>
      <c r="AX190" s="143"/>
      <c r="AY190" s="143"/>
      <c r="AZ190" s="143"/>
      <c r="BA190" s="143"/>
      <c r="BB190" s="143"/>
      <c r="BC190" s="143"/>
      <c r="BD190" s="143"/>
      <c r="BE190" s="143"/>
      <c r="BF190" s="143"/>
      <c r="BG190" s="143"/>
      <c r="BH190" s="143"/>
      <c r="BI190" s="143"/>
      <c r="BJ190" s="145"/>
      <c r="BK190" s="32" t="str">
        <f t="shared" si="118"/>
        <v>ENT_31_C4-06_ベース_経過記録情報モジュール_経過記録情報レコード.sql</v>
      </c>
    </row>
    <row r="191" spans="1:63" ht="37.5" customHeight="1" outlineLevel="1">
      <c r="A191" s="34" t="str">
        <f t="shared" si="114"/>
        <v>ベース_経過記録情報モジュール_プロブレムレコード</v>
      </c>
      <c r="B191" s="153" t="str">
        <f t="shared" si="115"/>
        <v>31</v>
      </c>
      <c r="C191" s="154"/>
      <c r="D191" s="154"/>
      <c r="E191" s="154"/>
      <c r="F191" s="155"/>
      <c r="G191" s="156" t="s">
        <v>307</v>
      </c>
      <c r="H191" s="157"/>
      <c r="I191" s="157"/>
      <c r="J191" s="157"/>
      <c r="K191" s="157"/>
      <c r="L191" s="157"/>
      <c r="M191" s="157"/>
      <c r="N191" s="158"/>
      <c r="O191" s="77" t="s">
        <v>4105</v>
      </c>
      <c r="P191" s="146" t="s">
        <v>3733</v>
      </c>
      <c r="Q191" s="147"/>
      <c r="R191" s="147"/>
      <c r="S191" s="147"/>
      <c r="T191" s="147"/>
      <c r="U191" s="147"/>
      <c r="V191" s="147"/>
      <c r="W191" s="147"/>
      <c r="X191" s="147"/>
      <c r="Y191" s="147"/>
      <c r="Z191" s="147"/>
      <c r="AA191" s="147"/>
      <c r="AB191" s="147"/>
      <c r="AC191" s="147"/>
      <c r="AD191" s="148"/>
      <c r="AE191" s="142" t="str">
        <f t="shared" ca="1" si="116"/>
        <v>sgioy_202310_base_merge_mml_pc_problem</v>
      </c>
      <c r="AF191" s="143"/>
      <c r="AG191" s="143"/>
      <c r="AH191" s="143"/>
      <c r="AI191" s="143"/>
      <c r="AJ191" s="143"/>
      <c r="AK191" s="143"/>
      <c r="AL191" s="144"/>
      <c r="AM191" s="142" t="str">
        <f t="shared" ca="1" si="117"/>
        <v>バックアップ_経過記録情報モジュール_プロブレムレコードテーブルから対象患者で絞り込んだ結果を格納するテーブル</v>
      </c>
      <c r="AN191" s="143"/>
      <c r="AO191" s="143"/>
      <c r="AP191" s="143"/>
      <c r="AQ191" s="143"/>
      <c r="AR191" s="143"/>
      <c r="AS191" s="143"/>
      <c r="AT191" s="143"/>
      <c r="AU191" s="143"/>
      <c r="AV191" s="143"/>
      <c r="AW191" s="143"/>
      <c r="AX191" s="143"/>
      <c r="AY191" s="143"/>
      <c r="AZ191" s="143"/>
      <c r="BA191" s="143"/>
      <c r="BB191" s="143"/>
      <c r="BC191" s="143"/>
      <c r="BD191" s="143"/>
      <c r="BE191" s="143"/>
      <c r="BF191" s="143"/>
      <c r="BG191" s="143"/>
      <c r="BH191" s="143"/>
      <c r="BI191" s="143"/>
      <c r="BJ191" s="145"/>
      <c r="BK191" s="32" t="str">
        <f t="shared" si="118"/>
        <v>ENT_31_C4-07_ベース_経過記録情報モジュール_プロブレムレコード.sql</v>
      </c>
    </row>
    <row r="192" spans="1:63" ht="37.5" customHeight="1" outlineLevel="1">
      <c r="A192" s="34" t="str">
        <f t="shared" si="114"/>
        <v>ベース_経過記録情報モジュール_身体所見レコード</v>
      </c>
      <c r="B192" s="153" t="str">
        <f t="shared" si="115"/>
        <v>31</v>
      </c>
      <c r="C192" s="154"/>
      <c r="D192" s="154"/>
      <c r="E192" s="154"/>
      <c r="F192" s="155"/>
      <c r="G192" s="156" t="s">
        <v>307</v>
      </c>
      <c r="H192" s="157"/>
      <c r="I192" s="157"/>
      <c r="J192" s="157"/>
      <c r="K192" s="157"/>
      <c r="L192" s="157"/>
      <c r="M192" s="157"/>
      <c r="N192" s="158"/>
      <c r="O192" s="77" t="s">
        <v>4106</v>
      </c>
      <c r="P192" s="146" t="s">
        <v>3734</v>
      </c>
      <c r="Q192" s="147"/>
      <c r="R192" s="147"/>
      <c r="S192" s="147"/>
      <c r="T192" s="147"/>
      <c r="U192" s="147"/>
      <c r="V192" s="147"/>
      <c r="W192" s="147"/>
      <c r="X192" s="147"/>
      <c r="Y192" s="147"/>
      <c r="Z192" s="147"/>
      <c r="AA192" s="147"/>
      <c r="AB192" s="147"/>
      <c r="AC192" s="147"/>
      <c r="AD192" s="148"/>
      <c r="AE192" s="142" t="str">
        <f t="shared" ca="1" si="116"/>
        <v>sgioy_202310_base_merge_mml_pc_physical_exam</v>
      </c>
      <c r="AF192" s="143"/>
      <c r="AG192" s="143"/>
      <c r="AH192" s="143"/>
      <c r="AI192" s="143"/>
      <c r="AJ192" s="143"/>
      <c r="AK192" s="143"/>
      <c r="AL192" s="144"/>
      <c r="AM192" s="142" t="str">
        <f t="shared" ca="1" si="117"/>
        <v>バックアップ_経過記録情報モジュール_身体所見レコードテーブルから対象患者で絞り込んだ結果を格納するテーブル</v>
      </c>
      <c r="AN192" s="143"/>
      <c r="AO192" s="143"/>
      <c r="AP192" s="143"/>
      <c r="AQ192" s="143"/>
      <c r="AR192" s="143"/>
      <c r="AS192" s="143"/>
      <c r="AT192" s="143"/>
      <c r="AU192" s="143"/>
      <c r="AV192" s="143"/>
      <c r="AW192" s="143"/>
      <c r="AX192" s="143"/>
      <c r="AY192" s="143"/>
      <c r="AZ192" s="143"/>
      <c r="BA192" s="143"/>
      <c r="BB192" s="143"/>
      <c r="BC192" s="143"/>
      <c r="BD192" s="143"/>
      <c r="BE192" s="143"/>
      <c r="BF192" s="143"/>
      <c r="BG192" s="143"/>
      <c r="BH192" s="143"/>
      <c r="BI192" s="143"/>
      <c r="BJ192" s="145"/>
      <c r="BK192" s="32" t="str">
        <f t="shared" si="118"/>
        <v>ENT_31_C4-08_ベース_経過記録情報モジュール_身体所見レコード.sql</v>
      </c>
    </row>
    <row r="193" spans="1:63" ht="37.5" customHeight="1" outlineLevel="1">
      <c r="A193" s="34" t="str">
        <f t="shared" si="114"/>
        <v>ベース_経過記録情報モジュール_アセスメントレコード</v>
      </c>
      <c r="B193" s="153" t="str">
        <f t="shared" si="115"/>
        <v>31</v>
      </c>
      <c r="C193" s="154"/>
      <c r="D193" s="154"/>
      <c r="E193" s="154"/>
      <c r="F193" s="155"/>
      <c r="G193" s="156" t="s">
        <v>307</v>
      </c>
      <c r="H193" s="157"/>
      <c r="I193" s="157"/>
      <c r="J193" s="157"/>
      <c r="K193" s="157"/>
      <c r="L193" s="157"/>
      <c r="M193" s="157"/>
      <c r="N193" s="158"/>
      <c r="O193" s="77" t="s">
        <v>4107</v>
      </c>
      <c r="P193" s="146" t="s">
        <v>3735</v>
      </c>
      <c r="Q193" s="147"/>
      <c r="R193" s="147"/>
      <c r="S193" s="147"/>
      <c r="T193" s="147"/>
      <c r="U193" s="147"/>
      <c r="V193" s="147"/>
      <c r="W193" s="147"/>
      <c r="X193" s="147"/>
      <c r="Y193" s="147"/>
      <c r="Z193" s="147"/>
      <c r="AA193" s="147"/>
      <c r="AB193" s="147"/>
      <c r="AC193" s="147"/>
      <c r="AD193" s="148"/>
      <c r="AE193" s="142" t="str">
        <f t="shared" ca="1" si="116"/>
        <v>sgioy_202310_base_merge_mml_pc_assessment</v>
      </c>
      <c r="AF193" s="143"/>
      <c r="AG193" s="143"/>
      <c r="AH193" s="143"/>
      <c r="AI193" s="143"/>
      <c r="AJ193" s="143"/>
      <c r="AK193" s="143"/>
      <c r="AL193" s="144"/>
      <c r="AM193" s="142" t="str">
        <f t="shared" ca="1" si="117"/>
        <v>バックアップ_経過記録情報モジュール_アセスメントレコードテーブルから対象患者で絞り込んだ結果を格納するテーブル</v>
      </c>
      <c r="AN193" s="143"/>
      <c r="AO193" s="143"/>
      <c r="AP193" s="143"/>
      <c r="AQ193" s="143"/>
      <c r="AR193" s="143"/>
      <c r="AS193" s="143"/>
      <c r="AT193" s="143"/>
      <c r="AU193" s="143"/>
      <c r="AV193" s="143"/>
      <c r="AW193" s="143"/>
      <c r="AX193" s="143"/>
      <c r="AY193" s="143"/>
      <c r="AZ193" s="143"/>
      <c r="BA193" s="143"/>
      <c r="BB193" s="143"/>
      <c r="BC193" s="143"/>
      <c r="BD193" s="143"/>
      <c r="BE193" s="143"/>
      <c r="BF193" s="143"/>
      <c r="BG193" s="143"/>
      <c r="BH193" s="143"/>
      <c r="BI193" s="143"/>
      <c r="BJ193" s="145"/>
      <c r="BK193" s="32" t="str">
        <f t="shared" si="118"/>
        <v>ENT_31_C4-15_ベース_経過記録情報モジュール_アセスメントレコード.sql</v>
      </c>
    </row>
    <row r="194" spans="1:63" ht="37.5" customHeight="1" outlineLevel="1">
      <c r="A194" s="34" t="str">
        <f t="shared" si="114"/>
        <v>ベース_経過記録情報モジュール_外部参照レコード</v>
      </c>
      <c r="B194" s="153" t="str">
        <f t="shared" si="115"/>
        <v>31</v>
      </c>
      <c r="C194" s="154"/>
      <c r="D194" s="154"/>
      <c r="E194" s="154"/>
      <c r="F194" s="155"/>
      <c r="G194" s="156" t="s">
        <v>307</v>
      </c>
      <c r="H194" s="157"/>
      <c r="I194" s="157"/>
      <c r="J194" s="157"/>
      <c r="K194" s="157"/>
      <c r="L194" s="157"/>
      <c r="M194" s="157"/>
      <c r="N194" s="158"/>
      <c r="O194" s="77" t="s">
        <v>4108</v>
      </c>
      <c r="P194" s="146" t="s">
        <v>3736</v>
      </c>
      <c r="Q194" s="147"/>
      <c r="R194" s="147"/>
      <c r="S194" s="147"/>
      <c r="T194" s="147"/>
      <c r="U194" s="147"/>
      <c r="V194" s="147"/>
      <c r="W194" s="147"/>
      <c r="X194" s="147"/>
      <c r="Y194" s="147"/>
      <c r="Z194" s="147"/>
      <c r="AA194" s="147"/>
      <c r="AB194" s="147"/>
      <c r="AC194" s="147"/>
      <c r="AD194" s="148"/>
      <c r="AE194" s="142" t="str">
        <f t="shared" ca="1" si="116"/>
        <v>sgioy_202310_base_merge_mml_pc_external_reference</v>
      </c>
      <c r="AF194" s="143"/>
      <c r="AG194" s="143"/>
      <c r="AH194" s="143"/>
      <c r="AI194" s="143"/>
      <c r="AJ194" s="143"/>
      <c r="AK194" s="143"/>
      <c r="AL194" s="144"/>
      <c r="AM194" s="142" t="str">
        <f t="shared" ca="1" si="117"/>
        <v>バックアップ_経過記録情報モジュール_外部参照レコードテーブルから対象患者で絞り込んだ結果を格納するテーブル</v>
      </c>
      <c r="AN194" s="143"/>
      <c r="AO194" s="143"/>
      <c r="AP194" s="143"/>
      <c r="AQ194" s="143"/>
      <c r="AR194" s="143"/>
      <c r="AS194" s="143"/>
      <c r="AT194" s="143"/>
      <c r="AU194" s="143"/>
      <c r="AV194" s="143"/>
      <c r="AW194" s="143"/>
      <c r="AX194" s="143"/>
      <c r="AY194" s="143"/>
      <c r="AZ194" s="143"/>
      <c r="BA194" s="143"/>
      <c r="BB194" s="143"/>
      <c r="BC194" s="143"/>
      <c r="BD194" s="143"/>
      <c r="BE194" s="143"/>
      <c r="BF194" s="143"/>
      <c r="BG194" s="143"/>
      <c r="BH194" s="143"/>
      <c r="BI194" s="143"/>
      <c r="BJ194" s="145"/>
      <c r="BK194" s="32" t="str">
        <f t="shared" si="118"/>
        <v>ENT_31_C4-22_ベース_経過記録情報モジュール_外部参照レコード.sql</v>
      </c>
    </row>
    <row r="195" spans="1:63" ht="37.5" customHeight="1" outlineLevel="1">
      <c r="A195" s="34" t="str">
        <f t="shared" si="114"/>
        <v>ベース_臨床サマリーモジュール_臨床サマリー情報レコード</v>
      </c>
      <c r="B195" s="153" t="str">
        <f t="shared" si="115"/>
        <v>31</v>
      </c>
      <c r="C195" s="154"/>
      <c r="D195" s="154"/>
      <c r="E195" s="154"/>
      <c r="F195" s="155"/>
      <c r="G195" s="156" t="s">
        <v>307</v>
      </c>
      <c r="H195" s="157"/>
      <c r="I195" s="157"/>
      <c r="J195" s="157"/>
      <c r="K195" s="157"/>
      <c r="L195" s="157"/>
      <c r="M195" s="157"/>
      <c r="N195" s="158"/>
      <c r="O195" s="77" t="s">
        <v>4109</v>
      </c>
      <c r="P195" s="146" t="s">
        <v>3737</v>
      </c>
      <c r="Q195" s="147"/>
      <c r="R195" s="147"/>
      <c r="S195" s="147"/>
      <c r="T195" s="147"/>
      <c r="U195" s="147"/>
      <c r="V195" s="147"/>
      <c r="W195" s="147"/>
      <c r="X195" s="147"/>
      <c r="Y195" s="147"/>
      <c r="Z195" s="147"/>
      <c r="AA195" s="147"/>
      <c r="AB195" s="147"/>
      <c r="AC195" s="147"/>
      <c r="AD195" s="148"/>
      <c r="AE195" s="142" t="str">
        <f t="shared" ca="1" si="116"/>
        <v>sgioy_202310_base_merge_mml_sm_summary</v>
      </c>
      <c r="AF195" s="143"/>
      <c r="AG195" s="143"/>
      <c r="AH195" s="143"/>
      <c r="AI195" s="143"/>
      <c r="AJ195" s="143"/>
      <c r="AK195" s="143"/>
      <c r="AL195" s="144"/>
      <c r="AM195" s="142" t="str">
        <f t="shared" ca="1" si="117"/>
        <v>バックアップ_臨床サマリーモジュール_臨床サマリー情報レコードテーブルから対象患者で絞り込んだ結果を格納するテーブル</v>
      </c>
      <c r="AN195" s="143"/>
      <c r="AO195" s="143"/>
      <c r="AP195" s="143"/>
      <c r="AQ195" s="143"/>
      <c r="AR195" s="143"/>
      <c r="AS195" s="143"/>
      <c r="AT195" s="143"/>
      <c r="AU195" s="143"/>
      <c r="AV195" s="143"/>
      <c r="AW195" s="143"/>
      <c r="AX195" s="143"/>
      <c r="AY195" s="143"/>
      <c r="AZ195" s="143"/>
      <c r="BA195" s="143"/>
      <c r="BB195" s="143"/>
      <c r="BC195" s="143"/>
      <c r="BD195" s="143"/>
      <c r="BE195" s="143"/>
      <c r="BF195" s="143"/>
      <c r="BG195" s="143"/>
      <c r="BH195" s="143"/>
      <c r="BI195" s="143"/>
      <c r="BJ195" s="145"/>
      <c r="BK195" s="32" t="str">
        <f t="shared" si="118"/>
        <v>ENT_31_C4-23_ベース_臨床サマリーモジュール_臨床サマリー情報レコード.sql</v>
      </c>
    </row>
    <row r="196" spans="1:63" ht="37.5" customHeight="1" outlineLevel="1">
      <c r="A196" s="34" t="str">
        <f t="shared" si="114"/>
        <v>ベース_臨床サマリーモジュール_外来受診レコード</v>
      </c>
      <c r="B196" s="153" t="str">
        <f t="shared" si="115"/>
        <v>31</v>
      </c>
      <c r="C196" s="154"/>
      <c r="D196" s="154"/>
      <c r="E196" s="154"/>
      <c r="F196" s="155"/>
      <c r="G196" s="156" t="s">
        <v>307</v>
      </c>
      <c r="H196" s="157"/>
      <c r="I196" s="157"/>
      <c r="J196" s="157"/>
      <c r="K196" s="157"/>
      <c r="L196" s="157"/>
      <c r="M196" s="157"/>
      <c r="N196" s="158"/>
      <c r="O196" s="77" t="s">
        <v>4110</v>
      </c>
      <c r="P196" s="146" t="s">
        <v>3738</v>
      </c>
      <c r="Q196" s="147"/>
      <c r="R196" s="147"/>
      <c r="S196" s="147"/>
      <c r="T196" s="147"/>
      <c r="U196" s="147"/>
      <c r="V196" s="147"/>
      <c r="W196" s="147"/>
      <c r="X196" s="147"/>
      <c r="Y196" s="147"/>
      <c r="Z196" s="147"/>
      <c r="AA196" s="147"/>
      <c r="AB196" s="147"/>
      <c r="AC196" s="147"/>
      <c r="AD196" s="148"/>
      <c r="AE196" s="142" t="str">
        <f t="shared" ca="1" si="116"/>
        <v>sgioy_202310_base_merge_mml_sm_out_patient</v>
      </c>
      <c r="AF196" s="143"/>
      <c r="AG196" s="143"/>
      <c r="AH196" s="143"/>
      <c r="AI196" s="143"/>
      <c r="AJ196" s="143"/>
      <c r="AK196" s="143"/>
      <c r="AL196" s="144"/>
      <c r="AM196" s="142" t="str">
        <f t="shared" ca="1" si="117"/>
        <v>バックアップ_臨床サマリーモジュール_外来受診レコードテーブルから対象患者で絞り込んだ結果を格納するテーブル</v>
      </c>
      <c r="AN196" s="143"/>
      <c r="AO196" s="143"/>
      <c r="AP196" s="143"/>
      <c r="AQ196" s="143"/>
      <c r="AR196" s="143"/>
      <c r="AS196" s="143"/>
      <c r="AT196" s="143"/>
      <c r="AU196" s="143"/>
      <c r="AV196" s="143"/>
      <c r="AW196" s="143"/>
      <c r="AX196" s="143"/>
      <c r="AY196" s="143"/>
      <c r="AZ196" s="143"/>
      <c r="BA196" s="143"/>
      <c r="BB196" s="143"/>
      <c r="BC196" s="143"/>
      <c r="BD196" s="143"/>
      <c r="BE196" s="143"/>
      <c r="BF196" s="143"/>
      <c r="BG196" s="143"/>
      <c r="BH196" s="143"/>
      <c r="BI196" s="143"/>
      <c r="BJ196" s="145"/>
      <c r="BK196" s="32" t="str">
        <f t="shared" si="118"/>
        <v>ENT_31_C4-24_ベース_臨床サマリーモジュール_外来受診レコード.sql</v>
      </c>
    </row>
    <row r="197" spans="1:63" ht="37.5" customHeight="1" outlineLevel="1">
      <c r="A197" s="34" t="str">
        <f t="shared" si="114"/>
        <v>ベース_臨床サマリーモジュール_入院レコード</v>
      </c>
      <c r="B197" s="153" t="str">
        <f t="shared" si="115"/>
        <v>31</v>
      </c>
      <c r="C197" s="154"/>
      <c r="D197" s="154"/>
      <c r="E197" s="154"/>
      <c r="F197" s="155"/>
      <c r="G197" s="156" t="s">
        <v>307</v>
      </c>
      <c r="H197" s="157"/>
      <c r="I197" s="157"/>
      <c r="J197" s="157"/>
      <c r="K197" s="157"/>
      <c r="L197" s="157"/>
      <c r="M197" s="157"/>
      <c r="N197" s="158"/>
      <c r="O197" s="77" t="s">
        <v>4111</v>
      </c>
      <c r="P197" s="146" t="s">
        <v>3739</v>
      </c>
      <c r="Q197" s="147"/>
      <c r="R197" s="147"/>
      <c r="S197" s="147"/>
      <c r="T197" s="147"/>
      <c r="U197" s="147"/>
      <c r="V197" s="147"/>
      <c r="W197" s="147"/>
      <c r="X197" s="147"/>
      <c r="Y197" s="147"/>
      <c r="Z197" s="147"/>
      <c r="AA197" s="147"/>
      <c r="AB197" s="147"/>
      <c r="AC197" s="147"/>
      <c r="AD197" s="148"/>
      <c r="AE197" s="142" t="str">
        <f t="shared" ca="1" si="116"/>
        <v>sgioy_202310_base_merge_mml_sm_in_patient</v>
      </c>
      <c r="AF197" s="143"/>
      <c r="AG197" s="143"/>
      <c r="AH197" s="143"/>
      <c r="AI197" s="143"/>
      <c r="AJ197" s="143"/>
      <c r="AK197" s="143"/>
      <c r="AL197" s="144"/>
      <c r="AM197" s="142" t="str">
        <f t="shared" ca="1" si="117"/>
        <v>バックアップ_臨床サマリーモジュール_入院レコードテーブルから対象患者で絞り込んだ結果を格納するテーブル</v>
      </c>
      <c r="AN197" s="143"/>
      <c r="AO197" s="143"/>
      <c r="AP197" s="143"/>
      <c r="AQ197" s="143"/>
      <c r="AR197" s="143"/>
      <c r="AS197" s="143"/>
      <c r="AT197" s="143"/>
      <c r="AU197" s="143"/>
      <c r="AV197" s="143"/>
      <c r="AW197" s="143"/>
      <c r="AX197" s="143"/>
      <c r="AY197" s="143"/>
      <c r="AZ197" s="143"/>
      <c r="BA197" s="143"/>
      <c r="BB197" s="143"/>
      <c r="BC197" s="143"/>
      <c r="BD197" s="143"/>
      <c r="BE197" s="143"/>
      <c r="BF197" s="143"/>
      <c r="BG197" s="143"/>
      <c r="BH197" s="143"/>
      <c r="BI197" s="143"/>
      <c r="BJ197" s="145"/>
      <c r="BK197" s="32" t="str">
        <f t="shared" si="118"/>
        <v>ENT_31_C4-25_ベース_臨床サマリーモジュール_入院レコード.sql</v>
      </c>
    </row>
    <row r="198" spans="1:63" ht="37.5" customHeight="1" outlineLevel="1">
      <c r="A198" s="34" t="str">
        <f t="shared" si="114"/>
        <v>ベース_臨床サマリーモジュール_経過記録レコード</v>
      </c>
      <c r="B198" s="153" t="str">
        <f t="shared" si="115"/>
        <v>31</v>
      </c>
      <c r="C198" s="154"/>
      <c r="D198" s="154"/>
      <c r="E198" s="154"/>
      <c r="F198" s="155"/>
      <c r="G198" s="156" t="s">
        <v>307</v>
      </c>
      <c r="H198" s="157"/>
      <c r="I198" s="157"/>
      <c r="J198" s="157"/>
      <c r="K198" s="157"/>
      <c r="L198" s="157"/>
      <c r="M198" s="157"/>
      <c r="N198" s="158"/>
      <c r="O198" s="77" t="s">
        <v>4112</v>
      </c>
      <c r="P198" s="146" t="s">
        <v>3740</v>
      </c>
      <c r="Q198" s="147"/>
      <c r="R198" s="147"/>
      <c r="S198" s="147"/>
      <c r="T198" s="147"/>
      <c r="U198" s="147"/>
      <c r="V198" s="147"/>
      <c r="W198" s="147"/>
      <c r="X198" s="147"/>
      <c r="Y198" s="147"/>
      <c r="Z198" s="147"/>
      <c r="AA198" s="147"/>
      <c r="AB198" s="147"/>
      <c r="AC198" s="147"/>
      <c r="AD198" s="148"/>
      <c r="AE198" s="142" t="str">
        <f t="shared" ca="1" si="116"/>
        <v>sgioy_202310_base_merge_mml_sm_clinical_course</v>
      </c>
      <c r="AF198" s="143"/>
      <c r="AG198" s="143"/>
      <c r="AH198" s="143"/>
      <c r="AI198" s="143"/>
      <c r="AJ198" s="143"/>
      <c r="AK198" s="143"/>
      <c r="AL198" s="144"/>
      <c r="AM198" s="142" t="str">
        <f t="shared" ca="1" si="117"/>
        <v>バックアップ_臨床サマリーモジュール_経過記録レコードテーブルから対象患者で絞り込んだ結果を格納するテーブル</v>
      </c>
      <c r="AN198" s="143"/>
      <c r="AO198" s="143"/>
      <c r="AP198" s="143"/>
      <c r="AQ198" s="143"/>
      <c r="AR198" s="143"/>
      <c r="AS198" s="143"/>
      <c r="AT198" s="143"/>
      <c r="AU198" s="143"/>
      <c r="AV198" s="143"/>
      <c r="AW198" s="143"/>
      <c r="AX198" s="143"/>
      <c r="AY198" s="143"/>
      <c r="AZ198" s="143"/>
      <c r="BA198" s="143"/>
      <c r="BB198" s="143"/>
      <c r="BC198" s="143"/>
      <c r="BD198" s="143"/>
      <c r="BE198" s="143"/>
      <c r="BF198" s="143"/>
      <c r="BG198" s="143"/>
      <c r="BH198" s="143"/>
      <c r="BI198" s="143"/>
      <c r="BJ198" s="145"/>
      <c r="BK198" s="32" t="str">
        <f t="shared" si="118"/>
        <v>ENT_31_C4-29_ベース_臨床サマリーモジュール_経過記録レコード.sql</v>
      </c>
    </row>
    <row r="199" spans="1:63" ht="37.5" customHeight="1" outlineLevel="1">
      <c r="A199" s="34" t="str">
        <f t="shared" si="114"/>
        <v>ベース_臨床サマリーモジュール_検査結果レコード</v>
      </c>
      <c r="B199" s="153" t="str">
        <f t="shared" si="115"/>
        <v>31</v>
      </c>
      <c r="C199" s="154"/>
      <c r="D199" s="154"/>
      <c r="E199" s="154"/>
      <c r="F199" s="155"/>
      <c r="G199" s="156" t="s">
        <v>307</v>
      </c>
      <c r="H199" s="157"/>
      <c r="I199" s="157"/>
      <c r="J199" s="157"/>
      <c r="K199" s="157"/>
      <c r="L199" s="157"/>
      <c r="M199" s="157"/>
      <c r="N199" s="158"/>
      <c r="O199" s="77" t="s">
        <v>4113</v>
      </c>
      <c r="P199" s="146" t="s">
        <v>3741</v>
      </c>
      <c r="Q199" s="147"/>
      <c r="R199" s="147"/>
      <c r="S199" s="147"/>
      <c r="T199" s="147"/>
      <c r="U199" s="147"/>
      <c r="V199" s="147"/>
      <c r="W199" s="147"/>
      <c r="X199" s="147"/>
      <c r="Y199" s="147"/>
      <c r="Z199" s="147"/>
      <c r="AA199" s="147"/>
      <c r="AB199" s="147"/>
      <c r="AC199" s="147"/>
      <c r="AD199" s="148"/>
      <c r="AE199" s="142" t="str">
        <f t="shared" ca="1" si="116"/>
        <v>sgioy_202310_base_merge_mml_sm_test_results</v>
      </c>
      <c r="AF199" s="143"/>
      <c r="AG199" s="143"/>
      <c r="AH199" s="143"/>
      <c r="AI199" s="143"/>
      <c r="AJ199" s="143"/>
      <c r="AK199" s="143"/>
      <c r="AL199" s="144"/>
      <c r="AM199" s="142" t="str">
        <f t="shared" ca="1" si="117"/>
        <v>バックアップ_臨床サマリーモジュール_検査結果レコードテーブルから対象患者で絞り込んだ結果を格納するテーブル</v>
      </c>
      <c r="AN199" s="143"/>
      <c r="AO199" s="143"/>
      <c r="AP199" s="143"/>
      <c r="AQ199" s="143"/>
      <c r="AR199" s="143"/>
      <c r="AS199" s="143"/>
      <c r="AT199" s="143"/>
      <c r="AU199" s="143"/>
      <c r="AV199" s="143"/>
      <c r="AW199" s="143"/>
      <c r="AX199" s="143"/>
      <c r="AY199" s="143"/>
      <c r="AZ199" s="143"/>
      <c r="BA199" s="143"/>
      <c r="BB199" s="143"/>
      <c r="BC199" s="143"/>
      <c r="BD199" s="143"/>
      <c r="BE199" s="143"/>
      <c r="BF199" s="143"/>
      <c r="BG199" s="143"/>
      <c r="BH199" s="143"/>
      <c r="BI199" s="143"/>
      <c r="BJ199" s="145"/>
      <c r="BK199" s="32" t="str">
        <f t="shared" si="118"/>
        <v>ENT_31_C4-30_ベース_臨床サマリーモジュール_検査結果レコード.sql</v>
      </c>
    </row>
    <row r="200" spans="1:63" ht="37.5" customHeight="1" outlineLevel="1">
      <c r="A200" s="34" t="str">
        <f t="shared" si="114"/>
        <v>ベース_検歴情報モジュール_検歴情報</v>
      </c>
      <c r="B200" s="153" t="str">
        <f t="shared" si="115"/>
        <v>31</v>
      </c>
      <c r="C200" s="154"/>
      <c r="D200" s="154"/>
      <c r="E200" s="154"/>
      <c r="F200" s="155"/>
      <c r="G200" s="156" t="s">
        <v>307</v>
      </c>
      <c r="H200" s="157"/>
      <c r="I200" s="157"/>
      <c r="J200" s="157"/>
      <c r="K200" s="157"/>
      <c r="L200" s="157"/>
      <c r="M200" s="157"/>
      <c r="N200" s="158"/>
      <c r="O200" s="77" t="s">
        <v>4114</v>
      </c>
      <c r="P200" s="146" t="s">
        <v>3742</v>
      </c>
      <c r="Q200" s="147"/>
      <c r="R200" s="147"/>
      <c r="S200" s="147"/>
      <c r="T200" s="147"/>
      <c r="U200" s="147"/>
      <c r="V200" s="147"/>
      <c r="W200" s="147"/>
      <c r="X200" s="147"/>
      <c r="Y200" s="147"/>
      <c r="Z200" s="147"/>
      <c r="AA200" s="147"/>
      <c r="AB200" s="147"/>
      <c r="AC200" s="147"/>
      <c r="AD200" s="148"/>
      <c r="AE200" s="142" t="str">
        <f t="shared" ca="1" si="116"/>
        <v>sgioy_202310_base_merge_mml_lb_test</v>
      </c>
      <c r="AF200" s="143"/>
      <c r="AG200" s="143"/>
      <c r="AH200" s="143"/>
      <c r="AI200" s="143"/>
      <c r="AJ200" s="143"/>
      <c r="AK200" s="143"/>
      <c r="AL200" s="144"/>
      <c r="AM200" s="142" t="str">
        <f t="shared" ca="1" si="117"/>
        <v>バックアップ_検歴情報モジュール_検歴情報テーブルから対象患者で絞り込んだ結果を格納するテーブル</v>
      </c>
      <c r="AN200" s="143"/>
      <c r="AO200" s="143"/>
      <c r="AP200" s="143"/>
      <c r="AQ200" s="143"/>
      <c r="AR200" s="143"/>
      <c r="AS200" s="143"/>
      <c r="AT200" s="143"/>
      <c r="AU200" s="143"/>
      <c r="AV200" s="143"/>
      <c r="AW200" s="143"/>
      <c r="AX200" s="143"/>
      <c r="AY200" s="143"/>
      <c r="AZ200" s="143"/>
      <c r="BA200" s="143"/>
      <c r="BB200" s="143"/>
      <c r="BC200" s="143"/>
      <c r="BD200" s="143"/>
      <c r="BE200" s="143"/>
      <c r="BF200" s="143"/>
      <c r="BG200" s="143"/>
      <c r="BH200" s="143"/>
      <c r="BI200" s="143"/>
      <c r="BJ200" s="145"/>
      <c r="BK200" s="32" t="str">
        <f t="shared" si="118"/>
        <v>ENT_31_C4-31_ベース_検歴情報モジュール_検歴情報.sql</v>
      </c>
    </row>
    <row r="201" spans="1:63" ht="37.5" customHeight="1" outlineLevel="1">
      <c r="A201" s="34" t="str">
        <f t="shared" si="114"/>
        <v>ベース_検歴情報モジュール_検歴検体材料</v>
      </c>
      <c r="B201" s="153" t="str">
        <f t="shared" si="115"/>
        <v>31</v>
      </c>
      <c r="C201" s="154"/>
      <c r="D201" s="154"/>
      <c r="E201" s="154"/>
      <c r="F201" s="155"/>
      <c r="G201" s="156" t="s">
        <v>307</v>
      </c>
      <c r="H201" s="157"/>
      <c r="I201" s="157"/>
      <c r="J201" s="157"/>
      <c r="K201" s="157"/>
      <c r="L201" s="157"/>
      <c r="M201" s="157"/>
      <c r="N201" s="158"/>
      <c r="O201" s="77" t="s">
        <v>4115</v>
      </c>
      <c r="P201" s="146" t="s">
        <v>3743</v>
      </c>
      <c r="Q201" s="147"/>
      <c r="R201" s="147"/>
      <c r="S201" s="147"/>
      <c r="T201" s="147"/>
      <c r="U201" s="147"/>
      <c r="V201" s="147"/>
      <c r="W201" s="147"/>
      <c r="X201" s="147"/>
      <c r="Y201" s="147"/>
      <c r="Z201" s="147"/>
      <c r="AA201" s="147"/>
      <c r="AB201" s="147"/>
      <c r="AC201" s="147"/>
      <c r="AD201" s="148"/>
      <c r="AE201" s="142" t="str">
        <f t="shared" ca="1" si="116"/>
        <v>sgioy_202310_base_merge_mml_lb_specimen</v>
      </c>
      <c r="AF201" s="143"/>
      <c r="AG201" s="143"/>
      <c r="AH201" s="143"/>
      <c r="AI201" s="143"/>
      <c r="AJ201" s="143"/>
      <c r="AK201" s="143"/>
      <c r="AL201" s="144"/>
      <c r="AM201" s="142" t="str">
        <f t="shared" ca="1" si="117"/>
        <v>バックアップ_検歴情報モジュール_検歴検体材料テーブルから対象患者で絞り込んだ結果を格納するテーブル</v>
      </c>
      <c r="AN201" s="143"/>
      <c r="AO201" s="143"/>
      <c r="AP201" s="143"/>
      <c r="AQ201" s="143"/>
      <c r="AR201" s="143"/>
      <c r="AS201" s="143"/>
      <c r="AT201" s="143"/>
      <c r="AU201" s="143"/>
      <c r="AV201" s="143"/>
      <c r="AW201" s="143"/>
      <c r="AX201" s="143"/>
      <c r="AY201" s="143"/>
      <c r="AZ201" s="143"/>
      <c r="BA201" s="143"/>
      <c r="BB201" s="143"/>
      <c r="BC201" s="143"/>
      <c r="BD201" s="143"/>
      <c r="BE201" s="143"/>
      <c r="BF201" s="143"/>
      <c r="BG201" s="143"/>
      <c r="BH201" s="143"/>
      <c r="BI201" s="143"/>
      <c r="BJ201" s="145"/>
      <c r="BK201" s="32" t="str">
        <f t="shared" si="118"/>
        <v>ENT_31_C4-33_ベース_検歴情報モジュール_検歴検体材料.sql</v>
      </c>
    </row>
    <row r="202" spans="1:63" ht="37.5" customHeight="1" outlineLevel="1">
      <c r="A202" s="34" t="str">
        <f t="shared" si="78"/>
        <v>ベース_検歴情報モジュール_検歴項目情報</v>
      </c>
      <c r="B202" s="153" t="str">
        <f t="shared" si="119"/>
        <v>31</v>
      </c>
      <c r="C202" s="154"/>
      <c r="D202" s="154"/>
      <c r="E202" s="154"/>
      <c r="F202" s="155"/>
      <c r="G202" s="156" t="s">
        <v>307</v>
      </c>
      <c r="H202" s="157"/>
      <c r="I202" s="157"/>
      <c r="J202" s="157"/>
      <c r="K202" s="157"/>
      <c r="L202" s="157"/>
      <c r="M202" s="157"/>
      <c r="N202" s="158"/>
      <c r="O202" s="77" t="s">
        <v>4116</v>
      </c>
      <c r="P202" s="146" t="s">
        <v>3744</v>
      </c>
      <c r="Q202" s="147"/>
      <c r="R202" s="147"/>
      <c r="S202" s="147"/>
      <c r="T202" s="147"/>
      <c r="U202" s="147"/>
      <c r="V202" s="147"/>
      <c r="W202" s="147"/>
      <c r="X202" s="147"/>
      <c r="Y202" s="147"/>
      <c r="Z202" s="147"/>
      <c r="AA202" s="147"/>
      <c r="AB202" s="147"/>
      <c r="AC202" s="147"/>
      <c r="AD202" s="148"/>
      <c r="AE202" s="142" t="str">
        <f ca="1">IFERROR(INDIRECT(P202&amp;"!D8"),"")</f>
        <v>sgioy_202310_base_merge_mml_lb_item</v>
      </c>
      <c r="AF202" s="143"/>
      <c r="AG202" s="143"/>
      <c r="AH202" s="143"/>
      <c r="AI202" s="143"/>
      <c r="AJ202" s="143"/>
      <c r="AK202" s="143"/>
      <c r="AL202" s="144"/>
      <c r="AM202" s="142" t="str">
        <f ca="1">IFERROR(INDIRECT(P202&amp;"!D9"),"")</f>
        <v>バックアップ_検歴情報モジュール_検歴項目情報テーブルから対象患者で絞り込んだ結果を格納するテーブル</v>
      </c>
      <c r="AN202" s="143"/>
      <c r="AO202" s="143"/>
      <c r="AP202" s="143"/>
      <c r="AQ202" s="143"/>
      <c r="AR202" s="143"/>
      <c r="AS202" s="143"/>
      <c r="AT202" s="143"/>
      <c r="AU202" s="143"/>
      <c r="AV202" s="143"/>
      <c r="AW202" s="143"/>
      <c r="AX202" s="143"/>
      <c r="AY202" s="143"/>
      <c r="AZ202" s="143"/>
      <c r="BA202" s="143"/>
      <c r="BB202" s="143"/>
      <c r="BC202" s="143"/>
      <c r="BD202" s="143"/>
      <c r="BE202" s="143"/>
      <c r="BF202" s="143"/>
      <c r="BG202" s="143"/>
      <c r="BH202" s="143"/>
      <c r="BI202" s="143"/>
      <c r="BJ202" s="145"/>
      <c r="BK202" s="32" t="str">
        <f t="shared" si="43"/>
        <v>ENT_31_C4-35_ベース_検歴情報モジュール_検歴項目情報.sql</v>
      </c>
    </row>
    <row r="203" spans="1:63" ht="37.5" customHeight="1">
      <c r="A203" s="34" t="str">
        <f t="shared" ref="A203:A207" si="124">P203</f>
        <v>ワーク_患者基本データ_DPC</v>
      </c>
      <c r="B203" s="211" t="str">
        <f t="shared" ref="B203:B221" si="125">TEXT(41,"00")</f>
        <v>41</v>
      </c>
      <c r="C203" s="212"/>
      <c r="D203" s="212"/>
      <c r="E203" s="212"/>
      <c r="F203" s="213"/>
      <c r="G203" s="214" t="s">
        <v>557</v>
      </c>
      <c r="H203" s="215"/>
      <c r="I203" s="215"/>
      <c r="J203" s="215"/>
      <c r="K203" s="215"/>
      <c r="L203" s="215"/>
      <c r="M203" s="215"/>
      <c r="N203" s="216"/>
      <c r="O203" s="77" t="str">
        <f>IF(P203&lt;&gt;"","ENT_"&amp;RIGHT(B203,2)&amp;"_"&amp;TEXT(ROW(O202)-ROW(O$202)+1,"00"),"")</f>
        <v>ENT_41_01</v>
      </c>
      <c r="P203" s="159" t="s">
        <v>3832</v>
      </c>
      <c r="Q203" s="160"/>
      <c r="R203" s="160"/>
      <c r="S203" s="160"/>
      <c r="T203" s="160"/>
      <c r="U203" s="160"/>
      <c r="V203" s="160"/>
      <c r="W203" s="160"/>
      <c r="X203" s="160"/>
      <c r="Y203" s="160"/>
      <c r="Z203" s="160"/>
      <c r="AA203" s="160"/>
      <c r="AB203" s="160"/>
      <c r="AC203" s="160"/>
      <c r="AD203" s="161"/>
      <c r="AE203" s="149" t="str">
        <f t="shared" ref="AE203:AE207" ca="1" si="126">IFERROR(INDIRECT(P203&amp;"!D8"),"")</f>
        <v>sgioy_202310_work_patient_basic_dpc</v>
      </c>
      <c r="AF203" s="150"/>
      <c r="AG203" s="150"/>
      <c r="AH203" s="150"/>
      <c r="AI203" s="150"/>
      <c r="AJ203" s="150"/>
      <c r="AK203" s="150"/>
      <c r="AL203" s="151"/>
      <c r="AM203" s="149" t="str">
        <f t="shared" ref="AM203:AM207" ca="1" si="127">IFERROR(INDIRECT(P203&amp;"!D9"),"")</f>
        <v>DPCの患者基本データを格納するテーブル</v>
      </c>
      <c r="AN203" s="150"/>
      <c r="AO203" s="150"/>
      <c r="AP203" s="150"/>
      <c r="AQ203" s="150"/>
      <c r="AR203" s="150"/>
      <c r="AS203" s="150"/>
      <c r="AT203" s="150"/>
      <c r="AU203" s="150"/>
      <c r="AV203" s="150"/>
      <c r="AW203" s="150"/>
      <c r="AX203" s="150"/>
      <c r="AY203" s="150"/>
      <c r="AZ203" s="150"/>
      <c r="BA203" s="150"/>
      <c r="BB203" s="150"/>
      <c r="BC203" s="150"/>
      <c r="BD203" s="150"/>
      <c r="BE203" s="150"/>
      <c r="BF203" s="150"/>
      <c r="BG203" s="150"/>
      <c r="BH203" s="150"/>
      <c r="BI203" s="150"/>
      <c r="BJ203" s="152"/>
      <c r="BK203" s="32" t="str">
        <f t="shared" ref="BK203:BK207" si="128">IF(P203&lt;&gt;"",O203&amp;"_"&amp;P203&amp;".sql","")</f>
        <v>ENT_41_01_ワーク_患者基本データ_DPC.sql</v>
      </c>
    </row>
    <row r="204" spans="1:63" ht="37.5" customHeight="1">
      <c r="A204" s="34" t="str">
        <f t="shared" si="124"/>
        <v>ワーク_患者基本データ_RCP_MML</v>
      </c>
      <c r="B204" s="153" t="str">
        <f t="shared" si="125"/>
        <v>41</v>
      </c>
      <c r="C204" s="154"/>
      <c r="D204" s="154"/>
      <c r="E204" s="154"/>
      <c r="F204" s="155"/>
      <c r="G204" s="156" t="s">
        <v>557</v>
      </c>
      <c r="H204" s="157"/>
      <c r="I204" s="157"/>
      <c r="J204" s="157"/>
      <c r="K204" s="157"/>
      <c r="L204" s="157"/>
      <c r="M204" s="157"/>
      <c r="N204" s="158"/>
      <c r="O204" s="77" t="str">
        <f t="shared" ref="O204:O207" si="129">IF(P204&lt;&gt;"","ENT_"&amp;RIGHT(B204,2)&amp;"_"&amp;TEXT(ROW(O203)-ROW(O$202)+1,"00"),"")</f>
        <v>ENT_41_02</v>
      </c>
      <c r="P204" s="159" t="s">
        <v>3833</v>
      </c>
      <c r="Q204" s="160"/>
      <c r="R204" s="160"/>
      <c r="S204" s="160"/>
      <c r="T204" s="160"/>
      <c r="U204" s="160"/>
      <c r="V204" s="160"/>
      <c r="W204" s="160"/>
      <c r="X204" s="160"/>
      <c r="Y204" s="160"/>
      <c r="Z204" s="160"/>
      <c r="AA204" s="160"/>
      <c r="AB204" s="160"/>
      <c r="AC204" s="160"/>
      <c r="AD204" s="161"/>
      <c r="AE204" s="149" t="str">
        <f t="shared" ca="1" si="126"/>
        <v>sgioy_202310_work_patient_basic_rcp_mml</v>
      </c>
      <c r="AF204" s="150"/>
      <c r="AG204" s="150"/>
      <c r="AH204" s="150"/>
      <c r="AI204" s="150"/>
      <c r="AJ204" s="150"/>
      <c r="AK204" s="150"/>
      <c r="AL204" s="151"/>
      <c r="AM204" s="149" t="str">
        <f t="shared" ca="1" si="127"/>
        <v>レセプト、MMLの患者基本データを格納するテーブル</v>
      </c>
      <c r="AN204" s="150"/>
      <c r="AO204" s="150"/>
      <c r="AP204" s="150"/>
      <c r="AQ204" s="150"/>
      <c r="AR204" s="150"/>
      <c r="AS204" s="150"/>
      <c r="AT204" s="150"/>
      <c r="AU204" s="150"/>
      <c r="AV204" s="150"/>
      <c r="AW204" s="150"/>
      <c r="AX204" s="150"/>
      <c r="AY204" s="150"/>
      <c r="AZ204" s="150"/>
      <c r="BA204" s="150"/>
      <c r="BB204" s="150"/>
      <c r="BC204" s="150"/>
      <c r="BD204" s="150"/>
      <c r="BE204" s="150"/>
      <c r="BF204" s="150"/>
      <c r="BG204" s="150"/>
      <c r="BH204" s="150"/>
      <c r="BI204" s="150"/>
      <c r="BJ204" s="152"/>
      <c r="BK204" s="32" t="str">
        <f t="shared" si="128"/>
        <v>ENT_41_02_ワーク_患者基本データ_RCP_MML.sql</v>
      </c>
    </row>
    <row r="205" spans="1:63" ht="37.5" customHeight="1">
      <c r="A205" s="34" t="str">
        <f t="shared" ref="A205" si="130">P205</f>
        <v>ワーク_疾患データ_DPC</v>
      </c>
      <c r="B205" s="153" t="str">
        <f t="shared" si="125"/>
        <v>41</v>
      </c>
      <c r="C205" s="154"/>
      <c r="D205" s="154"/>
      <c r="E205" s="154"/>
      <c r="F205" s="155"/>
      <c r="G205" s="156" t="s">
        <v>557</v>
      </c>
      <c r="H205" s="157"/>
      <c r="I205" s="157"/>
      <c r="J205" s="157"/>
      <c r="K205" s="157"/>
      <c r="L205" s="157"/>
      <c r="M205" s="157"/>
      <c r="N205" s="158"/>
      <c r="O205" s="77" t="str">
        <f t="shared" si="129"/>
        <v>ENT_41_03</v>
      </c>
      <c r="P205" s="159" t="s">
        <v>3858</v>
      </c>
      <c r="Q205" s="160"/>
      <c r="R205" s="160"/>
      <c r="S205" s="160"/>
      <c r="T205" s="160"/>
      <c r="U205" s="160"/>
      <c r="V205" s="160"/>
      <c r="W205" s="160"/>
      <c r="X205" s="160"/>
      <c r="Y205" s="160"/>
      <c r="Z205" s="160"/>
      <c r="AA205" s="160"/>
      <c r="AB205" s="160"/>
      <c r="AC205" s="160"/>
      <c r="AD205" s="161"/>
      <c r="AE205" s="149" t="str">
        <f t="shared" ref="AE205" ca="1" si="131">IFERROR(INDIRECT(P205&amp;"!D8"),"")</f>
        <v>sgioy_202310_work_shikkan_dpc</v>
      </c>
      <c r="AF205" s="150"/>
      <c r="AG205" s="150"/>
      <c r="AH205" s="150"/>
      <c r="AI205" s="150"/>
      <c r="AJ205" s="150"/>
      <c r="AK205" s="150"/>
      <c r="AL205" s="151"/>
      <c r="AM205" s="149" t="str">
        <f t="shared" ref="AM205" ca="1" si="132">IFERROR(INDIRECT(P205&amp;"!D9"),"")</f>
        <v>DPCの疾患データを格納するテーブル</v>
      </c>
      <c r="AN205" s="150"/>
      <c r="AO205" s="150"/>
      <c r="AP205" s="150"/>
      <c r="AQ205" s="150"/>
      <c r="AR205" s="150"/>
      <c r="AS205" s="150"/>
      <c r="AT205" s="150"/>
      <c r="AU205" s="150"/>
      <c r="AV205" s="150"/>
      <c r="AW205" s="150"/>
      <c r="AX205" s="150"/>
      <c r="AY205" s="150"/>
      <c r="AZ205" s="150"/>
      <c r="BA205" s="150"/>
      <c r="BB205" s="150"/>
      <c r="BC205" s="150"/>
      <c r="BD205" s="150"/>
      <c r="BE205" s="150"/>
      <c r="BF205" s="150"/>
      <c r="BG205" s="150"/>
      <c r="BH205" s="150"/>
      <c r="BI205" s="150"/>
      <c r="BJ205" s="152"/>
      <c r="BK205" s="32" t="str">
        <f t="shared" ref="BK205" si="133">IF(P205&lt;&gt;"",O205&amp;"_"&amp;P205&amp;".sql","")</f>
        <v>ENT_41_03_ワーク_疾患データ_DPC.sql</v>
      </c>
    </row>
    <row r="206" spans="1:63" ht="37.5" customHeight="1">
      <c r="A206" s="34" t="str">
        <f t="shared" ref="A206" si="134">P206</f>
        <v>ワーク_疾患データ_RCP</v>
      </c>
      <c r="B206" s="153" t="str">
        <f t="shared" si="125"/>
        <v>41</v>
      </c>
      <c r="C206" s="154"/>
      <c r="D206" s="154"/>
      <c r="E206" s="154"/>
      <c r="F206" s="155"/>
      <c r="G206" s="156" t="s">
        <v>557</v>
      </c>
      <c r="H206" s="157"/>
      <c r="I206" s="157"/>
      <c r="J206" s="157"/>
      <c r="K206" s="157"/>
      <c r="L206" s="157"/>
      <c r="M206" s="157"/>
      <c r="N206" s="158"/>
      <c r="O206" s="77" t="str">
        <f t="shared" si="129"/>
        <v>ENT_41_04</v>
      </c>
      <c r="P206" s="159" t="s">
        <v>3859</v>
      </c>
      <c r="Q206" s="160"/>
      <c r="R206" s="160"/>
      <c r="S206" s="160"/>
      <c r="T206" s="160"/>
      <c r="U206" s="160"/>
      <c r="V206" s="160"/>
      <c r="W206" s="160"/>
      <c r="X206" s="160"/>
      <c r="Y206" s="160"/>
      <c r="Z206" s="160"/>
      <c r="AA206" s="160"/>
      <c r="AB206" s="160"/>
      <c r="AC206" s="160"/>
      <c r="AD206" s="161"/>
      <c r="AE206" s="149" t="str">
        <f t="shared" ref="AE206" ca="1" si="135">IFERROR(INDIRECT(P206&amp;"!D8"),"")</f>
        <v>sgioy_202310_work_shikkan_rcp</v>
      </c>
      <c r="AF206" s="150"/>
      <c r="AG206" s="150"/>
      <c r="AH206" s="150"/>
      <c r="AI206" s="150"/>
      <c r="AJ206" s="150"/>
      <c r="AK206" s="150"/>
      <c r="AL206" s="151"/>
      <c r="AM206" s="149" t="str">
        <f t="shared" ref="AM206" ca="1" si="136">IFERROR(INDIRECT(P206&amp;"!D9"),"")</f>
        <v>レセプトの疾患データを格納するテーブル</v>
      </c>
      <c r="AN206" s="150"/>
      <c r="AO206" s="150"/>
      <c r="AP206" s="150"/>
      <c r="AQ206" s="150"/>
      <c r="AR206" s="150"/>
      <c r="AS206" s="150"/>
      <c r="AT206" s="150"/>
      <c r="AU206" s="150"/>
      <c r="AV206" s="150"/>
      <c r="AW206" s="150"/>
      <c r="AX206" s="150"/>
      <c r="AY206" s="150"/>
      <c r="AZ206" s="150"/>
      <c r="BA206" s="150"/>
      <c r="BB206" s="150"/>
      <c r="BC206" s="150"/>
      <c r="BD206" s="150"/>
      <c r="BE206" s="150"/>
      <c r="BF206" s="150"/>
      <c r="BG206" s="150"/>
      <c r="BH206" s="150"/>
      <c r="BI206" s="150"/>
      <c r="BJ206" s="152"/>
      <c r="BK206" s="32" t="str">
        <f t="shared" ref="BK206" si="137">IF(P206&lt;&gt;"",O206&amp;"_"&amp;P206&amp;".sql","")</f>
        <v>ENT_41_04_ワーク_疾患データ_RCP.sql</v>
      </c>
    </row>
    <row r="207" spans="1:63" ht="37.5" customHeight="1">
      <c r="A207" s="34" t="str">
        <f t="shared" si="124"/>
        <v>ワーク_疾患データ_MML</v>
      </c>
      <c r="B207" s="153" t="str">
        <f t="shared" si="125"/>
        <v>41</v>
      </c>
      <c r="C207" s="154"/>
      <c r="D207" s="154"/>
      <c r="E207" s="154"/>
      <c r="F207" s="155"/>
      <c r="G207" s="156" t="s">
        <v>557</v>
      </c>
      <c r="H207" s="157"/>
      <c r="I207" s="157"/>
      <c r="J207" s="157"/>
      <c r="K207" s="157"/>
      <c r="L207" s="157"/>
      <c r="M207" s="157"/>
      <c r="N207" s="158"/>
      <c r="O207" s="77" t="str">
        <f t="shared" si="129"/>
        <v>ENT_41_05</v>
      </c>
      <c r="P207" s="159" t="s">
        <v>4221</v>
      </c>
      <c r="Q207" s="160"/>
      <c r="R207" s="160"/>
      <c r="S207" s="160"/>
      <c r="T207" s="160"/>
      <c r="U207" s="160"/>
      <c r="V207" s="160"/>
      <c r="W207" s="160"/>
      <c r="X207" s="160"/>
      <c r="Y207" s="160"/>
      <c r="Z207" s="160"/>
      <c r="AA207" s="160"/>
      <c r="AB207" s="160"/>
      <c r="AC207" s="160"/>
      <c r="AD207" s="161"/>
      <c r="AE207" s="149" t="str">
        <f t="shared" ca="1" si="126"/>
        <v>sgioy_202310_work_shikkan_mml</v>
      </c>
      <c r="AF207" s="150"/>
      <c r="AG207" s="150"/>
      <c r="AH207" s="150"/>
      <c r="AI207" s="150"/>
      <c r="AJ207" s="150"/>
      <c r="AK207" s="150"/>
      <c r="AL207" s="151"/>
      <c r="AM207" s="149" t="str">
        <f t="shared" ca="1" si="127"/>
        <v>MMLの疾患データを格納するテーブル</v>
      </c>
      <c r="AN207" s="150"/>
      <c r="AO207" s="150"/>
      <c r="AP207" s="150"/>
      <c r="AQ207" s="150"/>
      <c r="AR207" s="150"/>
      <c r="AS207" s="150"/>
      <c r="AT207" s="150"/>
      <c r="AU207" s="150"/>
      <c r="AV207" s="150"/>
      <c r="AW207" s="150"/>
      <c r="AX207" s="150"/>
      <c r="AY207" s="150"/>
      <c r="AZ207" s="150"/>
      <c r="BA207" s="150"/>
      <c r="BB207" s="150"/>
      <c r="BC207" s="150"/>
      <c r="BD207" s="150"/>
      <c r="BE207" s="150"/>
      <c r="BF207" s="150"/>
      <c r="BG207" s="150"/>
      <c r="BH207" s="150"/>
      <c r="BI207" s="150"/>
      <c r="BJ207" s="152"/>
      <c r="BK207" s="32" t="str">
        <f t="shared" si="128"/>
        <v>ENT_41_05_ワーク_疾患データ_MML.sql</v>
      </c>
    </row>
    <row r="208" spans="1:63" ht="37.5" customHeight="1">
      <c r="A208" s="34" t="str">
        <f t="shared" ref="A208:A209" si="138">P208</f>
        <v>ワーク_入院退院_DPC</v>
      </c>
      <c r="B208" s="153" t="str">
        <f t="shared" si="125"/>
        <v>41</v>
      </c>
      <c r="C208" s="154"/>
      <c r="D208" s="154"/>
      <c r="E208" s="154"/>
      <c r="F208" s="155"/>
      <c r="G208" s="156" t="s">
        <v>557</v>
      </c>
      <c r="H208" s="157"/>
      <c r="I208" s="157"/>
      <c r="J208" s="157"/>
      <c r="K208" s="157"/>
      <c r="L208" s="157"/>
      <c r="M208" s="157"/>
      <c r="N208" s="158"/>
      <c r="O208" s="77" t="str">
        <f t="shared" ref="O208:O209" si="139">IF(P208&lt;&gt;"","ENT_"&amp;RIGHT(B208,2)&amp;"_"&amp;TEXT(ROW(O207)-ROW(O$202)+1,"00"),"")</f>
        <v>ENT_41_06</v>
      </c>
      <c r="P208" s="159" t="s">
        <v>4207</v>
      </c>
      <c r="Q208" s="160"/>
      <c r="R208" s="160"/>
      <c r="S208" s="160"/>
      <c r="T208" s="160"/>
      <c r="U208" s="160"/>
      <c r="V208" s="160"/>
      <c r="W208" s="160"/>
      <c r="X208" s="160"/>
      <c r="Y208" s="160"/>
      <c r="Z208" s="160"/>
      <c r="AA208" s="160"/>
      <c r="AB208" s="160"/>
      <c r="AC208" s="160"/>
      <c r="AD208" s="161"/>
      <c r="AE208" s="149" t="str">
        <f t="shared" ref="AE208:AE209" ca="1" si="140">IFERROR(INDIRECT(P208&amp;"!D8"),"")</f>
        <v>sgioy_202310_work_nyu_tai_in_dpc</v>
      </c>
      <c r="AF208" s="150"/>
      <c r="AG208" s="150"/>
      <c r="AH208" s="150"/>
      <c r="AI208" s="150"/>
      <c r="AJ208" s="150"/>
      <c r="AK208" s="150"/>
      <c r="AL208" s="151"/>
      <c r="AM208" s="149" t="str">
        <f t="shared" ref="AM208:AM209" ca="1" si="141">IFERROR(INDIRECT(P208&amp;"!D9"),"")</f>
        <v>DPCの入退院データを格納するテーブル</v>
      </c>
      <c r="AN208" s="150"/>
      <c r="AO208" s="150"/>
      <c r="AP208" s="150"/>
      <c r="AQ208" s="150"/>
      <c r="AR208" s="150"/>
      <c r="AS208" s="150"/>
      <c r="AT208" s="150"/>
      <c r="AU208" s="150"/>
      <c r="AV208" s="150"/>
      <c r="AW208" s="150"/>
      <c r="AX208" s="150"/>
      <c r="AY208" s="150"/>
      <c r="AZ208" s="150"/>
      <c r="BA208" s="150"/>
      <c r="BB208" s="150"/>
      <c r="BC208" s="150"/>
      <c r="BD208" s="150"/>
      <c r="BE208" s="150"/>
      <c r="BF208" s="150"/>
      <c r="BG208" s="150"/>
      <c r="BH208" s="150"/>
      <c r="BI208" s="150"/>
      <c r="BJ208" s="152"/>
      <c r="BK208" s="32" t="str">
        <f t="shared" ref="BK208:BK209" si="142">IF(P208&lt;&gt;"",O208&amp;"_"&amp;P208&amp;".sql","")</f>
        <v>ENT_41_06_ワーク_入院退院_DPC.sql</v>
      </c>
    </row>
    <row r="209" spans="1:63" ht="37.5" customHeight="1">
      <c r="A209" s="34" t="str">
        <f t="shared" si="138"/>
        <v>ワーク_入院退院_MML</v>
      </c>
      <c r="B209" s="153" t="str">
        <f t="shared" si="125"/>
        <v>41</v>
      </c>
      <c r="C209" s="154"/>
      <c r="D209" s="154"/>
      <c r="E209" s="154"/>
      <c r="F209" s="155"/>
      <c r="G209" s="156" t="s">
        <v>557</v>
      </c>
      <c r="H209" s="157"/>
      <c r="I209" s="157"/>
      <c r="J209" s="157"/>
      <c r="K209" s="157"/>
      <c r="L209" s="157"/>
      <c r="M209" s="157"/>
      <c r="N209" s="158"/>
      <c r="O209" s="77" t="str">
        <f t="shared" si="139"/>
        <v>ENT_41_07</v>
      </c>
      <c r="P209" s="159" t="s">
        <v>4208</v>
      </c>
      <c r="Q209" s="160"/>
      <c r="R209" s="160"/>
      <c r="S209" s="160"/>
      <c r="T209" s="160"/>
      <c r="U209" s="160"/>
      <c r="V209" s="160"/>
      <c r="W209" s="160"/>
      <c r="X209" s="160"/>
      <c r="Y209" s="160"/>
      <c r="Z209" s="160"/>
      <c r="AA209" s="160"/>
      <c r="AB209" s="160"/>
      <c r="AC209" s="160"/>
      <c r="AD209" s="161"/>
      <c r="AE209" s="149" t="str">
        <f t="shared" ca="1" si="140"/>
        <v>sgioy_202310_work_nyu_tai_in_mml</v>
      </c>
      <c r="AF209" s="150"/>
      <c r="AG209" s="150"/>
      <c r="AH209" s="150"/>
      <c r="AI209" s="150"/>
      <c r="AJ209" s="150"/>
      <c r="AK209" s="150"/>
      <c r="AL209" s="151"/>
      <c r="AM209" s="149" t="str">
        <f t="shared" ca="1" si="141"/>
        <v>MMLの入退院データを格納するテーブル</v>
      </c>
      <c r="AN209" s="150"/>
      <c r="AO209" s="150"/>
      <c r="AP209" s="150"/>
      <c r="AQ209" s="150"/>
      <c r="AR209" s="150"/>
      <c r="AS209" s="150"/>
      <c r="AT209" s="150"/>
      <c r="AU209" s="150"/>
      <c r="AV209" s="150"/>
      <c r="AW209" s="150"/>
      <c r="AX209" s="150"/>
      <c r="AY209" s="150"/>
      <c r="AZ209" s="150"/>
      <c r="BA209" s="150"/>
      <c r="BB209" s="150"/>
      <c r="BC209" s="150"/>
      <c r="BD209" s="150"/>
      <c r="BE209" s="150"/>
      <c r="BF209" s="150"/>
      <c r="BG209" s="150"/>
      <c r="BH209" s="150"/>
      <c r="BI209" s="150"/>
      <c r="BJ209" s="152"/>
      <c r="BK209" s="32" t="str">
        <f t="shared" si="142"/>
        <v>ENT_41_07_ワーク_入院退院_MML.sql</v>
      </c>
    </row>
    <row r="210" spans="1:63" ht="37.5" customHeight="1">
      <c r="A210" s="34" t="str">
        <f t="shared" ref="A210:A213" si="143">P210</f>
        <v>ワーク_入院退院</v>
      </c>
      <c r="B210" s="153" t="str">
        <f t="shared" si="125"/>
        <v>41</v>
      </c>
      <c r="C210" s="154"/>
      <c r="D210" s="154"/>
      <c r="E210" s="154"/>
      <c r="F210" s="155"/>
      <c r="G210" s="156" t="s">
        <v>557</v>
      </c>
      <c r="H210" s="157"/>
      <c r="I210" s="157"/>
      <c r="J210" s="157"/>
      <c r="K210" s="157"/>
      <c r="L210" s="157"/>
      <c r="M210" s="157"/>
      <c r="N210" s="158"/>
      <c r="O210" s="77" t="str">
        <f t="shared" ref="O210:O213" si="144">IF(P210&lt;&gt;"","ENT_"&amp;RIGHT(B210,2)&amp;"_"&amp;TEXT(ROW(O209)-ROW(O$202)+1,"00"),"")</f>
        <v>ENT_41_08</v>
      </c>
      <c r="P210" s="159" t="s">
        <v>4209</v>
      </c>
      <c r="Q210" s="160"/>
      <c r="R210" s="160"/>
      <c r="S210" s="160"/>
      <c r="T210" s="160"/>
      <c r="U210" s="160"/>
      <c r="V210" s="160"/>
      <c r="W210" s="160"/>
      <c r="X210" s="160"/>
      <c r="Y210" s="160"/>
      <c r="Z210" s="160"/>
      <c r="AA210" s="160"/>
      <c r="AB210" s="160"/>
      <c r="AC210" s="160"/>
      <c r="AD210" s="161"/>
      <c r="AE210" s="149" t="str">
        <f t="shared" ref="AE210:AE213" ca="1" si="145">IFERROR(INDIRECT(P210&amp;"!D8"),"")</f>
        <v>sgioy_202310_work_nyu_tai_in</v>
      </c>
      <c r="AF210" s="150"/>
      <c r="AG210" s="150"/>
      <c r="AH210" s="150"/>
      <c r="AI210" s="150"/>
      <c r="AJ210" s="150"/>
      <c r="AK210" s="150"/>
      <c r="AL210" s="151"/>
      <c r="AM210" s="149" t="str">
        <f t="shared" ref="AM210:AM213" ca="1" si="146">IFERROR(INDIRECT(P210&amp;"!D9"),"")</f>
        <v>入退院データを格納するテーブル</v>
      </c>
      <c r="AN210" s="150"/>
      <c r="AO210" s="150"/>
      <c r="AP210" s="150"/>
      <c r="AQ210" s="150"/>
      <c r="AR210" s="150"/>
      <c r="AS210" s="150"/>
      <c r="AT210" s="150"/>
      <c r="AU210" s="150"/>
      <c r="AV210" s="150"/>
      <c r="AW210" s="150"/>
      <c r="AX210" s="150"/>
      <c r="AY210" s="150"/>
      <c r="AZ210" s="150"/>
      <c r="BA210" s="150"/>
      <c r="BB210" s="150"/>
      <c r="BC210" s="150"/>
      <c r="BD210" s="150"/>
      <c r="BE210" s="150"/>
      <c r="BF210" s="150"/>
      <c r="BG210" s="150"/>
      <c r="BH210" s="150"/>
      <c r="BI210" s="150"/>
      <c r="BJ210" s="152"/>
      <c r="BK210" s="32" t="str">
        <f t="shared" ref="BK210:BK213" si="147">IF(P210&lt;&gt;"",O210&amp;"_"&amp;P210&amp;".sql","")</f>
        <v>ENT_41_08_ワーク_入院退院.sql</v>
      </c>
    </row>
    <row r="211" spans="1:63" ht="37.5" customHeight="1">
      <c r="A211" s="34" t="str">
        <f t="shared" si="143"/>
        <v>ワーク_外来_DPC</v>
      </c>
      <c r="B211" s="153" t="str">
        <f t="shared" si="125"/>
        <v>41</v>
      </c>
      <c r="C211" s="154"/>
      <c r="D211" s="154"/>
      <c r="E211" s="154"/>
      <c r="F211" s="155"/>
      <c r="G211" s="156" t="s">
        <v>557</v>
      </c>
      <c r="H211" s="157"/>
      <c r="I211" s="157"/>
      <c r="J211" s="157"/>
      <c r="K211" s="157"/>
      <c r="L211" s="157"/>
      <c r="M211" s="157"/>
      <c r="N211" s="158"/>
      <c r="O211" s="77" t="str">
        <f t="shared" si="144"/>
        <v>ENT_41_09</v>
      </c>
      <c r="P211" s="159" t="s">
        <v>4210</v>
      </c>
      <c r="Q211" s="160"/>
      <c r="R211" s="160"/>
      <c r="S211" s="160"/>
      <c r="T211" s="160"/>
      <c r="U211" s="160"/>
      <c r="V211" s="160"/>
      <c r="W211" s="160"/>
      <c r="X211" s="160"/>
      <c r="Y211" s="160"/>
      <c r="Z211" s="160"/>
      <c r="AA211" s="160"/>
      <c r="AB211" s="160"/>
      <c r="AC211" s="160"/>
      <c r="AD211" s="161"/>
      <c r="AE211" s="149" t="str">
        <f t="shared" ca="1" si="145"/>
        <v>sgioy_202310_work_gairai_dpc</v>
      </c>
      <c r="AF211" s="150"/>
      <c r="AG211" s="150"/>
      <c r="AH211" s="150"/>
      <c r="AI211" s="150"/>
      <c r="AJ211" s="150"/>
      <c r="AK211" s="150"/>
      <c r="AL211" s="151"/>
      <c r="AM211" s="149" t="str">
        <f t="shared" ca="1" si="146"/>
        <v>DPCの外来データを格納するテーブル</v>
      </c>
      <c r="AN211" s="150"/>
      <c r="AO211" s="150"/>
      <c r="AP211" s="150"/>
      <c r="AQ211" s="150"/>
      <c r="AR211" s="150"/>
      <c r="AS211" s="150"/>
      <c r="AT211" s="150"/>
      <c r="AU211" s="150"/>
      <c r="AV211" s="150"/>
      <c r="AW211" s="150"/>
      <c r="AX211" s="150"/>
      <c r="AY211" s="150"/>
      <c r="AZ211" s="150"/>
      <c r="BA211" s="150"/>
      <c r="BB211" s="150"/>
      <c r="BC211" s="150"/>
      <c r="BD211" s="150"/>
      <c r="BE211" s="150"/>
      <c r="BF211" s="150"/>
      <c r="BG211" s="150"/>
      <c r="BH211" s="150"/>
      <c r="BI211" s="150"/>
      <c r="BJ211" s="152"/>
      <c r="BK211" s="32" t="str">
        <f t="shared" si="147"/>
        <v>ENT_41_09_ワーク_外来_DPC.sql</v>
      </c>
    </row>
    <row r="212" spans="1:63" ht="37.5" customHeight="1">
      <c r="A212" s="34" t="str">
        <f t="shared" si="143"/>
        <v>ワーク_外来_MML</v>
      </c>
      <c r="B212" s="153" t="str">
        <f t="shared" si="125"/>
        <v>41</v>
      </c>
      <c r="C212" s="154"/>
      <c r="D212" s="154"/>
      <c r="E212" s="154"/>
      <c r="F212" s="155"/>
      <c r="G212" s="156" t="s">
        <v>557</v>
      </c>
      <c r="H212" s="157"/>
      <c r="I212" s="157"/>
      <c r="J212" s="157"/>
      <c r="K212" s="157"/>
      <c r="L212" s="157"/>
      <c r="M212" s="157"/>
      <c r="N212" s="158"/>
      <c r="O212" s="77" t="str">
        <f t="shared" si="144"/>
        <v>ENT_41_10</v>
      </c>
      <c r="P212" s="159" t="s">
        <v>4211</v>
      </c>
      <c r="Q212" s="160"/>
      <c r="R212" s="160"/>
      <c r="S212" s="160"/>
      <c r="T212" s="160"/>
      <c r="U212" s="160"/>
      <c r="V212" s="160"/>
      <c r="W212" s="160"/>
      <c r="X212" s="160"/>
      <c r="Y212" s="160"/>
      <c r="Z212" s="160"/>
      <c r="AA212" s="160"/>
      <c r="AB212" s="160"/>
      <c r="AC212" s="160"/>
      <c r="AD212" s="161"/>
      <c r="AE212" s="149" t="str">
        <f t="shared" ca="1" si="145"/>
        <v>sgioy_202310_work_gairai_mml</v>
      </c>
      <c r="AF212" s="150"/>
      <c r="AG212" s="150"/>
      <c r="AH212" s="150"/>
      <c r="AI212" s="150"/>
      <c r="AJ212" s="150"/>
      <c r="AK212" s="150"/>
      <c r="AL212" s="151"/>
      <c r="AM212" s="149" t="str">
        <f t="shared" ca="1" si="146"/>
        <v>MMLの外来データを格納するテーブル</v>
      </c>
      <c r="AN212" s="150"/>
      <c r="AO212" s="150"/>
      <c r="AP212" s="150"/>
      <c r="AQ212" s="150"/>
      <c r="AR212" s="150"/>
      <c r="AS212" s="150"/>
      <c r="AT212" s="150"/>
      <c r="AU212" s="150"/>
      <c r="AV212" s="150"/>
      <c r="AW212" s="150"/>
      <c r="AX212" s="150"/>
      <c r="AY212" s="150"/>
      <c r="AZ212" s="150"/>
      <c r="BA212" s="150"/>
      <c r="BB212" s="150"/>
      <c r="BC212" s="150"/>
      <c r="BD212" s="150"/>
      <c r="BE212" s="150"/>
      <c r="BF212" s="150"/>
      <c r="BG212" s="150"/>
      <c r="BH212" s="150"/>
      <c r="BI212" s="150"/>
      <c r="BJ212" s="152"/>
      <c r="BK212" s="32" t="str">
        <f t="shared" si="147"/>
        <v>ENT_41_10_ワーク_外来_MML.sql</v>
      </c>
    </row>
    <row r="213" spans="1:63" ht="37.5" customHeight="1">
      <c r="A213" s="34" t="str">
        <f t="shared" si="143"/>
        <v>ワーク_外来</v>
      </c>
      <c r="B213" s="153" t="str">
        <f t="shared" si="125"/>
        <v>41</v>
      </c>
      <c r="C213" s="154"/>
      <c r="D213" s="154"/>
      <c r="E213" s="154"/>
      <c r="F213" s="155"/>
      <c r="G213" s="156" t="s">
        <v>557</v>
      </c>
      <c r="H213" s="157"/>
      <c r="I213" s="157"/>
      <c r="J213" s="157"/>
      <c r="K213" s="157"/>
      <c r="L213" s="157"/>
      <c r="M213" s="157"/>
      <c r="N213" s="158"/>
      <c r="O213" s="77" t="str">
        <f t="shared" si="144"/>
        <v>ENT_41_11</v>
      </c>
      <c r="P213" s="159" t="s">
        <v>4212</v>
      </c>
      <c r="Q213" s="160"/>
      <c r="R213" s="160"/>
      <c r="S213" s="160"/>
      <c r="T213" s="160"/>
      <c r="U213" s="160"/>
      <c r="V213" s="160"/>
      <c r="W213" s="160"/>
      <c r="X213" s="160"/>
      <c r="Y213" s="160"/>
      <c r="Z213" s="160"/>
      <c r="AA213" s="160"/>
      <c r="AB213" s="160"/>
      <c r="AC213" s="160"/>
      <c r="AD213" s="161"/>
      <c r="AE213" s="149" t="str">
        <f t="shared" ca="1" si="145"/>
        <v>sgioy_202310_work_gairai</v>
      </c>
      <c r="AF213" s="150"/>
      <c r="AG213" s="150"/>
      <c r="AH213" s="150"/>
      <c r="AI213" s="150"/>
      <c r="AJ213" s="150"/>
      <c r="AK213" s="150"/>
      <c r="AL213" s="151"/>
      <c r="AM213" s="149" t="str">
        <f t="shared" ca="1" si="146"/>
        <v>外来データを格納するテーブル</v>
      </c>
      <c r="AN213" s="150"/>
      <c r="AO213" s="150"/>
      <c r="AP213" s="150"/>
      <c r="AQ213" s="150"/>
      <c r="AR213" s="150"/>
      <c r="AS213" s="150"/>
      <c r="AT213" s="150"/>
      <c r="AU213" s="150"/>
      <c r="AV213" s="150"/>
      <c r="AW213" s="150"/>
      <c r="AX213" s="150"/>
      <c r="AY213" s="150"/>
      <c r="AZ213" s="150"/>
      <c r="BA213" s="150"/>
      <c r="BB213" s="150"/>
      <c r="BC213" s="150"/>
      <c r="BD213" s="150"/>
      <c r="BE213" s="150"/>
      <c r="BF213" s="150"/>
      <c r="BG213" s="150"/>
      <c r="BH213" s="150"/>
      <c r="BI213" s="150"/>
      <c r="BJ213" s="152"/>
      <c r="BK213" s="32" t="str">
        <f t="shared" si="147"/>
        <v>ENT_41_11_ワーク_外来.sql</v>
      </c>
    </row>
    <row r="214" spans="1:63" ht="37.5" customHeight="1">
      <c r="A214" s="34" t="str">
        <f t="shared" ref="A214:A217" si="148">P214</f>
        <v>ワーク_処方データ_DPC</v>
      </c>
      <c r="B214" s="153" t="str">
        <f t="shared" si="125"/>
        <v>41</v>
      </c>
      <c r="C214" s="154"/>
      <c r="D214" s="154"/>
      <c r="E214" s="154"/>
      <c r="F214" s="155"/>
      <c r="G214" s="156" t="s">
        <v>557</v>
      </c>
      <c r="H214" s="157"/>
      <c r="I214" s="157"/>
      <c r="J214" s="157"/>
      <c r="K214" s="157"/>
      <c r="L214" s="157"/>
      <c r="M214" s="157"/>
      <c r="N214" s="158"/>
      <c r="O214" s="77" t="str">
        <f t="shared" ref="O214:O217" si="149">IF(P214&lt;&gt;"","ENT_"&amp;RIGHT(B214,2)&amp;"_"&amp;TEXT(ROW(O213)-ROW(O$202)+1,"00"),"")</f>
        <v>ENT_41_12</v>
      </c>
      <c r="P214" s="159" t="s">
        <v>4213</v>
      </c>
      <c r="Q214" s="160"/>
      <c r="R214" s="160"/>
      <c r="S214" s="160"/>
      <c r="T214" s="160"/>
      <c r="U214" s="160"/>
      <c r="V214" s="160"/>
      <c r="W214" s="160"/>
      <c r="X214" s="160"/>
      <c r="Y214" s="160"/>
      <c r="Z214" s="160"/>
      <c r="AA214" s="160"/>
      <c r="AB214" s="160"/>
      <c r="AC214" s="160"/>
      <c r="AD214" s="161"/>
      <c r="AE214" s="149" t="str">
        <f t="shared" ref="AE214:AE217" ca="1" si="150">IFERROR(INDIRECT(P214&amp;"!D8"),"")</f>
        <v>sgioy_202310_work_shohou_dpc</v>
      </c>
      <c r="AF214" s="150"/>
      <c r="AG214" s="150"/>
      <c r="AH214" s="150"/>
      <c r="AI214" s="150"/>
      <c r="AJ214" s="150"/>
      <c r="AK214" s="150"/>
      <c r="AL214" s="151"/>
      <c r="AM214" s="149" t="str">
        <f t="shared" ref="AM214:AM217" ca="1" si="151">IFERROR(INDIRECT(P214&amp;"!D9"),"")</f>
        <v>DPCの処方データを格納するテーブル</v>
      </c>
      <c r="AN214" s="150"/>
      <c r="AO214" s="150"/>
      <c r="AP214" s="150"/>
      <c r="AQ214" s="150"/>
      <c r="AR214" s="150"/>
      <c r="AS214" s="150"/>
      <c r="AT214" s="150"/>
      <c r="AU214" s="150"/>
      <c r="AV214" s="150"/>
      <c r="AW214" s="150"/>
      <c r="AX214" s="150"/>
      <c r="AY214" s="150"/>
      <c r="AZ214" s="150"/>
      <c r="BA214" s="150"/>
      <c r="BB214" s="150"/>
      <c r="BC214" s="150"/>
      <c r="BD214" s="150"/>
      <c r="BE214" s="150"/>
      <c r="BF214" s="150"/>
      <c r="BG214" s="150"/>
      <c r="BH214" s="150"/>
      <c r="BI214" s="150"/>
      <c r="BJ214" s="152"/>
      <c r="BK214" s="32" t="str">
        <f t="shared" ref="BK214:BK217" si="152">IF(P214&lt;&gt;"",O214&amp;"_"&amp;P214&amp;".sql","")</f>
        <v>ENT_41_12_ワーク_処方データ_DPC.sql</v>
      </c>
    </row>
    <row r="215" spans="1:63" ht="37.5" customHeight="1">
      <c r="A215" s="34" t="str">
        <f t="shared" si="148"/>
        <v>ワーク_処方データ_MML</v>
      </c>
      <c r="B215" s="153" t="str">
        <f t="shared" si="125"/>
        <v>41</v>
      </c>
      <c r="C215" s="154"/>
      <c r="D215" s="154"/>
      <c r="E215" s="154"/>
      <c r="F215" s="155"/>
      <c r="G215" s="156" t="s">
        <v>557</v>
      </c>
      <c r="H215" s="157"/>
      <c r="I215" s="157"/>
      <c r="J215" s="157"/>
      <c r="K215" s="157"/>
      <c r="L215" s="157"/>
      <c r="M215" s="157"/>
      <c r="N215" s="158"/>
      <c r="O215" s="77" t="str">
        <f t="shared" si="149"/>
        <v>ENT_41_13</v>
      </c>
      <c r="P215" s="159" t="s">
        <v>4214</v>
      </c>
      <c r="Q215" s="160"/>
      <c r="R215" s="160"/>
      <c r="S215" s="160"/>
      <c r="T215" s="160"/>
      <c r="U215" s="160"/>
      <c r="V215" s="160"/>
      <c r="W215" s="160"/>
      <c r="X215" s="160"/>
      <c r="Y215" s="160"/>
      <c r="Z215" s="160"/>
      <c r="AA215" s="160"/>
      <c r="AB215" s="160"/>
      <c r="AC215" s="160"/>
      <c r="AD215" s="161"/>
      <c r="AE215" s="149" t="str">
        <f t="shared" ca="1" si="150"/>
        <v>sgioy_202310_work_shohou_mml</v>
      </c>
      <c r="AF215" s="150"/>
      <c r="AG215" s="150"/>
      <c r="AH215" s="150"/>
      <c r="AI215" s="150"/>
      <c r="AJ215" s="150"/>
      <c r="AK215" s="150"/>
      <c r="AL215" s="151"/>
      <c r="AM215" s="149" t="str">
        <f t="shared" ca="1" si="151"/>
        <v>MMLの処方データを格納するテーブル</v>
      </c>
      <c r="AN215" s="150"/>
      <c r="AO215" s="150"/>
      <c r="AP215" s="150"/>
      <c r="AQ215" s="150"/>
      <c r="AR215" s="150"/>
      <c r="AS215" s="150"/>
      <c r="AT215" s="150"/>
      <c r="AU215" s="150"/>
      <c r="AV215" s="150"/>
      <c r="AW215" s="150"/>
      <c r="AX215" s="150"/>
      <c r="AY215" s="150"/>
      <c r="AZ215" s="150"/>
      <c r="BA215" s="150"/>
      <c r="BB215" s="150"/>
      <c r="BC215" s="150"/>
      <c r="BD215" s="150"/>
      <c r="BE215" s="150"/>
      <c r="BF215" s="150"/>
      <c r="BG215" s="150"/>
      <c r="BH215" s="150"/>
      <c r="BI215" s="150"/>
      <c r="BJ215" s="152"/>
      <c r="BK215" s="32" t="str">
        <f t="shared" si="152"/>
        <v>ENT_41_13_ワーク_処方データ_MML.sql</v>
      </c>
    </row>
    <row r="216" spans="1:63" ht="37.5" customHeight="1">
      <c r="A216" s="34" t="str">
        <f t="shared" si="148"/>
        <v>ワーク_診療行為データ</v>
      </c>
      <c r="B216" s="153" t="str">
        <f t="shared" si="125"/>
        <v>41</v>
      </c>
      <c r="C216" s="154"/>
      <c r="D216" s="154"/>
      <c r="E216" s="154"/>
      <c r="F216" s="155"/>
      <c r="G216" s="156" t="s">
        <v>557</v>
      </c>
      <c r="H216" s="157"/>
      <c r="I216" s="157"/>
      <c r="J216" s="157"/>
      <c r="K216" s="157"/>
      <c r="L216" s="157"/>
      <c r="M216" s="157"/>
      <c r="N216" s="158"/>
      <c r="O216" s="77" t="str">
        <f t="shared" si="149"/>
        <v>ENT_41_14</v>
      </c>
      <c r="P216" s="159" t="s">
        <v>4215</v>
      </c>
      <c r="Q216" s="160"/>
      <c r="R216" s="160"/>
      <c r="S216" s="160"/>
      <c r="T216" s="160"/>
      <c r="U216" s="160"/>
      <c r="V216" s="160"/>
      <c r="W216" s="160"/>
      <c r="X216" s="160"/>
      <c r="Y216" s="160"/>
      <c r="Z216" s="160"/>
      <c r="AA216" s="160"/>
      <c r="AB216" s="160"/>
      <c r="AC216" s="160"/>
      <c r="AD216" s="161"/>
      <c r="AE216" s="149" t="str">
        <f t="shared" ca="1" si="150"/>
        <v>sgioy_202310_work_shinryou_koui</v>
      </c>
      <c r="AF216" s="150"/>
      <c r="AG216" s="150"/>
      <c r="AH216" s="150"/>
      <c r="AI216" s="150"/>
      <c r="AJ216" s="150"/>
      <c r="AK216" s="150"/>
      <c r="AL216" s="151"/>
      <c r="AM216" s="149" t="str">
        <f t="shared" ca="1" si="151"/>
        <v>診療行為データを格納するテーブル</v>
      </c>
      <c r="AN216" s="150"/>
      <c r="AO216" s="150"/>
      <c r="AP216" s="150"/>
      <c r="AQ216" s="150"/>
      <c r="AR216" s="150"/>
      <c r="AS216" s="150"/>
      <c r="AT216" s="150"/>
      <c r="AU216" s="150"/>
      <c r="AV216" s="150"/>
      <c r="AW216" s="150"/>
      <c r="AX216" s="150"/>
      <c r="AY216" s="150"/>
      <c r="AZ216" s="150"/>
      <c r="BA216" s="150"/>
      <c r="BB216" s="150"/>
      <c r="BC216" s="150"/>
      <c r="BD216" s="150"/>
      <c r="BE216" s="150"/>
      <c r="BF216" s="150"/>
      <c r="BG216" s="150"/>
      <c r="BH216" s="150"/>
      <c r="BI216" s="150"/>
      <c r="BJ216" s="152"/>
      <c r="BK216" s="32" t="str">
        <f t="shared" si="152"/>
        <v>ENT_41_14_ワーク_診療行為データ.sql</v>
      </c>
    </row>
    <row r="217" spans="1:63" ht="37.5" customHeight="1">
      <c r="A217" s="34" t="str">
        <f t="shared" si="148"/>
        <v>ワーク_検体検査データ_スキーマ2</v>
      </c>
      <c r="B217" s="153" t="str">
        <f t="shared" si="125"/>
        <v>41</v>
      </c>
      <c r="C217" s="154"/>
      <c r="D217" s="154"/>
      <c r="E217" s="154"/>
      <c r="F217" s="155"/>
      <c r="G217" s="156" t="s">
        <v>557</v>
      </c>
      <c r="H217" s="157"/>
      <c r="I217" s="157"/>
      <c r="J217" s="157"/>
      <c r="K217" s="157"/>
      <c r="L217" s="157"/>
      <c r="M217" s="157"/>
      <c r="N217" s="158"/>
      <c r="O217" s="77" t="str">
        <f t="shared" si="149"/>
        <v>ENT_41_15</v>
      </c>
      <c r="P217" s="159" t="s">
        <v>4216</v>
      </c>
      <c r="Q217" s="160"/>
      <c r="R217" s="160"/>
      <c r="S217" s="160"/>
      <c r="T217" s="160"/>
      <c r="U217" s="160"/>
      <c r="V217" s="160"/>
      <c r="W217" s="160"/>
      <c r="X217" s="160"/>
      <c r="Y217" s="160"/>
      <c r="Z217" s="160"/>
      <c r="AA217" s="160"/>
      <c r="AB217" s="160"/>
      <c r="AC217" s="160"/>
      <c r="AD217" s="161"/>
      <c r="AE217" s="149" t="str">
        <f t="shared" ca="1" si="150"/>
        <v>sgioy_202310_work_kensa_scm2</v>
      </c>
      <c r="AF217" s="150"/>
      <c r="AG217" s="150"/>
      <c r="AH217" s="150"/>
      <c r="AI217" s="150"/>
      <c r="AJ217" s="150"/>
      <c r="AK217" s="150"/>
      <c r="AL217" s="151"/>
      <c r="AM217" s="149" t="str">
        <f t="shared" ca="1" si="151"/>
        <v>MML（スキーマ2）の検体検査データを格納するテーブル</v>
      </c>
      <c r="AN217" s="150"/>
      <c r="AO217" s="150"/>
      <c r="AP217" s="150"/>
      <c r="AQ217" s="150"/>
      <c r="AR217" s="150"/>
      <c r="AS217" s="150"/>
      <c r="AT217" s="150"/>
      <c r="AU217" s="150"/>
      <c r="AV217" s="150"/>
      <c r="AW217" s="150"/>
      <c r="AX217" s="150"/>
      <c r="AY217" s="150"/>
      <c r="AZ217" s="150"/>
      <c r="BA217" s="150"/>
      <c r="BB217" s="150"/>
      <c r="BC217" s="150"/>
      <c r="BD217" s="150"/>
      <c r="BE217" s="150"/>
      <c r="BF217" s="150"/>
      <c r="BG217" s="150"/>
      <c r="BH217" s="150"/>
      <c r="BI217" s="150"/>
      <c r="BJ217" s="152"/>
      <c r="BK217" s="32" t="str">
        <f t="shared" si="152"/>
        <v>ENT_41_15_ワーク_検体検査データ_スキーマ2.sql</v>
      </c>
    </row>
    <row r="218" spans="1:63" ht="37.5" customHeight="1">
      <c r="A218" s="34" t="str">
        <f t="shared" ref="A218:A221" si="153">P218</f>
        <v>ワーク_検体検査データ_スキーマ4</v>
      </c>
      <c r="B218" s="153" t="str">
        <f t="shared" si="125"/>
        <v>41</v>
      </c>
      <c r="C218" s="154"/>
      <c r="D218" s="154"/>
      <c r="E218" s="154"/>
      <c r="F218" s="155"/>
      <c r="G218" s="156" t="s">
        <v>557</v>
      </c>
      <c r="H218" s="157"/>
      <c r="I218" s="157"/>
      <c r="J218" s="157"/>
      <c r="K218" s="157"/>
      <c r="L218" s="157"/>
      <c r="M218" s="157"/>
      <c r="N218" s="158"/>
      <c r="O218" s="77" t="str">
        <f t="shared" ref="O218:O221" si="154">IF(P218&lt;&gt;"","ENT_"&amp;RIGHT(B218,2)&amp;"_"&amp;TEXT(ROW(O217)-ROW(O$202)+1,"00"),"")</f>
        <v>ENT_41_16</v>
      </c>
      <c r="P218" s="159" t="s">
        <v>4217</v>
      </c>
      <c r="Q218" s="160"/>
      <c r="R218" s="160"/>
      <c r="S218" s="160"/>
      <c r="T218" s="160"/>
      <c r="U218" s="160"/>
      <c r="V218" s="160"/>
      <c r="W218" s="160"/>
      <c r="X218" s="160"/>
      <c r="Y218" s="160"/>
      <c r="Z218" s="160"/>
      <c r="AA218" s="160"/>
      <c r="AB218" s="160"/>
      <c r="AC218" s="160"/>
      <c r="AD218" s="161"/>
      <c r="AE218" s="149" t="str">
        <f t="shared" ref="AE218:AE221" ca="1" si="155">IFERROR(INDIRECT(P218&amp;"!D8"),"")</f>
        <v>sgioy_202310_work_kensa_scm4</v>
      </c>
      <c r="AF218" s="150"/>
      <c r="AG218" s="150"/>
      <c r="AH218" s="150"/>
      <c r="AI218" s="150"/>
      <c r="AJ218" s="150"/>
      <c r="AK218" s="150"/>
      <c r="AL218" s="151"/>
      <c r="AM218" s="149" t="str">
        <f t="shared" ref="AM218:AM221" ca="1" si="156">IFERROR(INDIRECT(P218&amp;"!D9"),"")</f>
        <v>MML（スキーマ4）の検体検査データを格納するテーブル</v>
      </c>
      <c r="AN218" s="150"/>
      <c r="AO218" s="150"/>
      <c r="AP218" s="150"/>
      <c r="AQ218" s="150"/>
      <c r="AR218" s="150"/>
      <c r="AS218" s="150"/>
      <c r="AT218" s="150"/>
      <c r="AU218" s="150"/>
      <c r="AV218" s="150"/>
      <c r="AW218" s="150"/>
      <c r="AX218" s="150"/>
      <c r="AY218" s="150"/>
      <c r="AZ218" s="150"/>
      <c r="BA218" s="150"/>
      <c r="BB218" s="150"/>
      <c r="BC218" s="150"/>
      <c r="BD218" s="150"/>
      <c r="BE218" s="150"/>
      <c r="BF218" s="150"/>
      <c r="BG218" s="150"/>
      <c r="BH218" s="150"/>
      <c r="BI218" s="150"/>
      <c r="BJ218" s="152"/>
      <c r="BK218" s="32" t="str">
        <f t="shared" ref="BK218:BK221" si="157">IF(P218&lt;&gt;"",O218&amp;"_"&amp;P218&amp;".sql","")</f>
        <v>ENT_41_16_ワーク_検体検査データ_スキーマ4.sql</v>
      </c>
    </row>
    <row r="219" spans="1:63" ht="37.5" customHeight="1">
      <c r="A219" s="34" t="str">
        <f t="shared" si="153"/>
        <v>ワーク_検体検査データ</v>
      </c>
      <c r="B219" s="153" t="str">
        <f t="shared" si="125"/>
        <v>41</v>
      </c>
      <c r="C219" s="154"/>
      <c r="D219" s="154"/>
      <c r="E219" s="154"/>
      <c r="F219" s="155"/>
      <c r="G219" s="156" t="s">
        <v>557</v>
      </c>
      <c r="H219" s="157"/>
      <c r="I219" s="157"/>
      <c r="J219" s="157"/>
      <c r="K219" s="157"/>
      <c r="L219" s="157"/>
      <c r="M219" s="157"/>
      <c r="N219" s="158"/>
      <c r="O219" s="77" t="str">
        <f>IF(P219&lt;&gt;"","ENT_"&amp;RIGHT(B219,2)&amp;"_"&amp;TEXT(ROW(O218)-ROW(O$202)+1,"00"),"")</f>
        <v>ENT_41_17</v>
      </c>
      <c r="P219" s="159" t="s">
        <v>4218</v>
      </c>
      <c r="Q219" s="160"/>
      <c r="R219" s="160"/>
      <c r="S219" s="160"/>
      <c r="T219" s="160"/>
      <c r="U219" s="160"/>
      <c r="V219" s="160"/>
      <c r="W219" s="160"/>
      <c r="X219" s="160"/>
      <c r="Y219" s="160"/>
      <c r="Z219" s="160"/>
      <c r="AA219" s="160"/>
      <c r="AB219" s="160"/>
      <c r="AC219" s="160"/>
      <c r="AD219" s="161"/>
      <c r="AE219" s="149" t="str">
        <f t="shared" ca="1" si="155"/>
        <v>sgioy_202310_work_kensa</v>
      </c>
      <c r="AF219" s="150"/>
      <c r="AG219" s="150"/>
      <c r="AH219" s="150"/>
      <c r="AI219" s="150"/>
      <c r="AJ219" s="150"/>
      <c r="AK219" s="150"/>
      <c r="AL219" s="151"/>
      <c r="AM219" s="149" t="str">
        <f t="shared" ca="1" si="156"/>
        <v>MMLの検体検査データを格納するテーブル</v>
      </c>
      <c r="AN219" s="150"/>
      <c r="AO219" s="150"/>
      <c r="AP219" s="150"/>
      <c r="AQ219" s="150"/>
      <c r="AR219" s="150"/>
      <c r="AS219" s="150"/>
      <c r="AT219" s="150"/>
      <c r="AU219" s="150"/>
      <c r="AV219" s="150"/>
      <c r="AW219" s="150"/>
      <c r="AX219" s="150"/>
      <c r="AY219" s="150"/>
      <c r="AZ219" s="150"/>
      <c r="BA219" s="150"/>
      <c r="BB219" s="150"/>
      <c r="BC219" s="150"/>
      <c r="BD219" s="150"/>
      <c r="BE219" s="150"/>
      <c r="BF219" s="150"/>
      <c r="BG219" s="150"/>
      <c r="BH219" s="150"/>
      <c r="BI219" s="150"/>
      <c r="BJ219" s="152"/>
      <c r="BK219" s="32" t="str">
        <f t="shared" si="157"/>
        <v>ENT_41_17_ワーク_検体検査データ.sql</v>
      </c>
    </row>
    <row r="220" spans="1:63" ht="37.5" customHeight="1">
      <c r="A220" s="34" t="str">
        <f t="shared" si="153"/>
        <v>ワーク_テキスト情報_一時</v>
      </c>
      <c r="B220" s="153" t="str">
        <f t="shared" si="125"/>
        <v>41</v>
      </c>
      <c r="C220" s="154"/>
      <c r="D220" s="154"/>
      <c r="E220" s="154"/>
      <c r="F220" s="155"/>
      <c r="G220" s="156" t="s">
        <v>557</v>
      </c>
      <c r="H220" s="157"/>
      <c r="I220" s="157"/>
      <c r="J220" s="157"/>
      <c r="K220" s="157"/>
      <c r="L220" s="157"/>
      <c r="M220" s="157"/>
      <c r="N220" s="158"/>
      <c r="O220" s="77" t="str">
        <f t="shared" si="154"/>
        <v>ENT_41_18</v>
      </c>
      <c r="P220" s="159" t="s">
        <v>4273</v>
      </c>
      <c r="Q220" s="160"/>
      <c r="R220" s="160"/>
      <c r="S220" s="160"/>
      <c r="T220" s="160"/>
      <c r="U220" s="160"/>
      <c r="V220" s="160"/>
      <c r="W220" s="160"/>
      <c r="X220" s="160"/>
      <c r="Y220" s="160"/>
      <c r="Z220" s="160"/>
      <c r="AA220" s="160"/>
      <c r="AB220" s="160"/>
      <c r="AC220" s="160"/>
      <c r="AD220" s="161"/>
      <c r="AE220" s="149" t="str">
        <f t="shared" ca="1" si="155"/>
        <v>sgioy_202310_work_text_temp</v>
      </c>
      <c r="AF220" s="150"/>
      <c r="AG220" s="150"/>
      <c r="AH220" s="150"/>
      <c r="AI220" s="150"/>
      <c r="AJ220" s="150"/>
      <c r="AK220" s="150"/>
      <c r="AL220" s="151"/>
      <c r="AM220" s="149" t="str">
        <f t="shared" ca="1" si="156"/>
        <v>MMLの検体検査データを格納するテーブル</v>
      </c>
      <c r="AN220" s="150"/>
      <c r="AO220" s="150"/>
      <c r="AP220" s="150"/>
      <c r="AQ220" s="150"/>
      <c r="AR220" s="150"/>
      <c r="AS220" s="150"/>
      <c r="AT220" s="150"/>
      <c r="AU220" s="150"/>
      <c r="AV220" s="150"/>
      <c r="AW220" s="150"/>
      <c r="AX220" s="150"/>
      <c r="AY220" s="150"/>
      <c r="AZ220" s="150"/>
      <c r="BA220" s="150"/>
      <c r="BB220" s="150"/>
      <c r="BC220" s="150"/>
      <c r="BD220" s="150"/>
      <c r="BE220" s="150"/>
      <c r="BF220" s="150"/>
      <c r="BG220" s="150"/>
      <c r="BH220" s="150"/>
      <c r="BI220" s="150"/>
      <c r="BJ220" s="152"/>
      <c r="BK220" s="32" t="str">
        <f t="shared" si="157"/>
        <v>ENT_41_18_ワーク_テキスト情報_一時.sql</v>
      </c>
    </row>
    <row r="221" spans="1:63" ht="37.5" customHeight="1">
      <c r="A221" s="34" t="str">
        <f t="shared" si="153"/>
        <v>ワーク_テキスト情報</v>
      </c>
      <c r="B221" s="153" t="str">
        <f t="shared" si="125"/>
        <v>41</v>
      </c>
      <c r="C221" s="154"/>
      <c r="D221" s="154"/>
      <c r="E221" s="154"/>
      <c r="F221" s="155"/>
      <c r="G221" s="156" t="s">
        <v>557</v>
      </c>
      <c r="H221" s="157"/>
      <c r="I221" s="157"/>
      <c r="J221" s="157"/>
      <c r="K221" s="157"/>
      <c r="L221" s="157"/>
      <c r="M221" s="157"/>
      <c r="N221" s="158"/>
      <c r="O221" s="77" t="str">
        <f t="shared" si="154"/>
        <v>ENT_41_19</v>
      </c>
      <c r="P221" s="159" t="s">
        <v>4219</v>
      </c>
      <c r="Q221" s="160"/>
      <c r="R221" s="160"/>
      <c r="S221" s="160"/>
      <c r="T221" s="160"/>
      <c r="U221" s="160"/>
      <c r="V221" s="160"/>
      <c r="W221" s="160"/>
      <c r="X221" s="160"/>
      <c r="Y221" s="160"/>
      <c r="Z221" s="160"/>
      <c r="AA221" s="160"/>
      <c r="AB221" s="160"/>
      <c r="AC221" s="160"/>
      <c r="AD221" s="161"/>
      <c r="AE221" s="149" t="str">
        <f t="shared" ca="1" si="155"/>
        <v>sgioy_202310_work_text</v>
      </c>
      <c r="AF221" s="150"/>
      <c r="AG221" s="150"/>
      <c r="AH221" s="150"/>
      <c r="AI221" s="150"/>
      <c r="AJ221" s="150"/>
      <c r="AK221" s="150"/>
      <c r="AL221" s="151"/>
      <c r="AM221" s="149" t="str">
        <f t="shared" ca="1" si="156"/>
        <v>MMLの検体検査データを格納するテーブル</v>
      </c>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2"/>
      <c r="BK221" s="32" t="str">
        <f t="shared" si="157"/>
        <v>ENT_41_19_ワーク_テキスト情報.sql</v>
      </c>
    </row>
    <row r="222" spans="1:63" ht="37.5" customHeight="1">
      <c r="A222" s="34" t="str">
        <f t="shared" si="78"/>
        <v>セレクト_疾患データ_大区分</v>
      </c>
      <c r="B222" s="211" t="str">
        <f>TEXT(51,"00")</f>
        <v>51</v>
      </c>
      <c r="C222" s="212"/>
      <c r="D222" s="212"/>
      <c r="E222" s="212"/>
      <c r="F222" s="213"/>
      <c r="G222" s="214" t="s">
        <v>558</v>
      </c>
      <c r="H222" s="215"/>
      <c r="I222" s="215"/>
      <c r="J222" s="215"/>
      <c r="K222" s="215"/>
      <c r="L222" s="215"/>
      <c r="M222" s="215"/>
      <c r="N222" s="216"/>
      <c r="O222" s="77" t="str">
        <f>IF(P222&lt;&gt;"","ENT_"&amp;RIGHT(B222,2)&amp;"_"&amp;TEXT(ROW(O222)-ROW(O$222)+1,"00"),"")</f>
        <v>ENT_51_01</v>
      </c>
      <c r="P222" s="159" t="s">
        <v>900</v>
      </c>
      <c r="Q222" s="160"/>
      <c r="R222" s="160"/>
      <c r="S222" s="160"/>
      <c r="T222" s="160"/>
      <c r="U222" s="160"/>
      <c r="V222" s="160"/>
      <c r="W222" s="160"/>
      <c r="X222" s="160"/>
      <c r="Y222" s="160"/>
      <c r="Z222" s="160"/>
      <c r="AA222" s="160"/>
      <c r="AB222" s="160"/>
      <c r="AC222" s="160"/>
      <c r="AD222" s="161"/>
      <c r="AE222" s="149" t="str">
        <f t="shared" ref="AE222:AE224" ca="1" si="158">IFERROR(INDIRECT(P222&amp;"!D8"),"")</f>
        <v/>
      </c>
      <c r="AF222" s="150"/>
      <c r="AG222" s="150"/>
      <c r="AH222" s="150"/>
      <c r="AI222" s="150"/>
      <c r="AJ222" s="150"/>
      <c r="AK222" s="150"/>
      <c r="AL222" s="151"/>
      <c r="AM222" s="149" t="str">
        <f t="shared" ref="AM222:AM224" ca="1" si="159">IFERROR(INDIRECT(P222&amp;"!D9"),"")</f>
        <v/>
      </c>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2"/>
      <c r="BK222" s="32" t="str">
        <f t="shared" si="43"/>
        <v>ENT_51_01_セレクト_疾患データ_大区分.sql</v>
      </c>
    </row>
    <row r="223" spans="1:63" ht="37.5" customHeight="1">
      <c r="A223" s="34" t="str">
        <f t="shared" ref="A223" si="160">P223</f>
        <v>セレクト_疾患データ_小区分</v>
      </c>
      <c r="B223" s="153" t="str">
        <f>TEXT(51,"00")</f>
        <v>51</v>
      </c>
      <c r="C223" s="154"/>
      <c r="D223" s="154"/>
      <c r="E223" s="154"/>
      <c r="F223" s="155"/>
      <c r="G223" s="156" t="s">
        <v>558</v>
      </c>
      <c r="H223" s="157"/>
      <c r="I223" s="157"/>
      <c r="J223" s="157"/>
      <c r="K223" s="157"/>
      <c r="L223" s="157"/>
      <c r="M223" s="157"/>
      <c r="N223" s="158"/>
      <c r="O223" s="77" t="str">
        <f>IF(P223&lt;&gt;"","ENT_"&amp;RIGHT(B223,2)&amp;"_"&amp;TEXT(ROW(O223)-ROW(O$222)+1,"00"),"")</f>
        <v>ENT_51_02</v>
      </c>
      <c r="P223" s="146" t="s">
        <v>901</v>
      </c>
      <c r="Q223" s="147"/>
      <c r="R223" s="147"/>
      <c r="S223" s="147"/>
      <c r="T223" s="147"/>
      <c r="U223" s="147"/>
      <c r="V223" s="147"/>
      <c r="W223" s="147"/>
      <c r="X223" s="147"/>
      <c r="Y223" s="147"/>
      <c r="Z223" s="147"/>
      <c r="AA223" s="147"/>
      <c r="AB223" s="147"/>
      <c r="AC223" s="147"/>
      <c r="AD223" s="148"/>
      <c r="AE223" s="142" t="str">
        <f t="shared" ref="AE223" ca="1" si="161">IFERROR(INDIRECT(P223&amp;"!D8"),"")</f>
        <v/>
      </c>
      <c r="AF223" s="143"/>
      <c r="AG223" s="143"/>
      <c r="AH223" s="143"/>
      <c r="AI223" s="143"/>
      <c r="AJ223" s="143"/>
      <c r="AK223" s="143"/>
      <c r="AL223" s="144"/>
      <c r="AM223" s="142" t="str">
        <f t="shared" ref="AM223" ca="1" si="162">IFERROR(INDIRECT(P223&amp;"!D9"),"")</f>
        <v/>
      </c>
      <c r="AN223" s="143"/>
      <c r="AO223" s="143"/>
      <c r="AP223" s="143"/>
      <c r="AQ223" s="143"/>
      <c r="AR223" s="143"/>
      <c r="AS223" s="143"/>
      <c r="AT223" s="143"/>
      <c r="AU223" s="143"/>
      <c r="AV223" s="143"/>
      <c r="AW223" s="143"/>
      <c r="AX223" s="143"/>
      <c r="AY223" s="143"/>
      <c r="AZ223" s="143"/>
      <c r="BA223" s="143"/>
      <c r="BB223" s="143"/>
      <c r="BC223" s="143"/>
      <c r="BD223" s="143"/>
      <c r="BE223" s="143"/>
      <c r="BF223" s="143"/>
      <c r="BG223" s="143"/>
      <c r="BH223" s="143"/>
      <c r="BI223" s="143"/>
      <c r="BJ223" s="145"/>
      <c r="BK223" s="32" t="str">
        <f t="shared" si="43"/>
        <v>ENT_51_02_セレクト_疾患データ_小区分.sql</v>
      </c>
    </row>
    <row r="224" spans="1:63" ht="37.5" customHeight="1" thickBot="1">
      <c r="A224" s="34">
        <f t="shared" si="78"/>
        <v>0</v>
      </c>
      <c r="B224" s="198" t="str">
        <f>TEXT(51,"00")</f>
        <v>51</v>
      </c>
      <c r="C224" s="199"/>
      <c r="D224" s="199"/>
      <c r="E224" s="199"/>
      <c r="F224" s="200"/>
      <c r="G224" s="201" t="s">
        <v>558</v>
      </c>
      <c r="H224" s="202"/>
      <c r="I224" s="202"/>
      <c r="J224" s="202"/>
      <c r="K224" s="202"/>
      <c r="L224" s="202"/>
      <c r="M224" s="202"/>
      <c r="N224" s="203"/>
      <c r="O224" s="78" t="str">
        <f>IF(P224&lt;&gt;"","ENT_"&amp;RIGHT(B224,2)&amp;"_"&amp;TEXT(ROW(O224)-ROW(O$222)+1,"00"),"")</f>
        <v/>
      </c>
      <c r="P224" s="204"/>
      <c r="Q224" s="205"/>
      <c r="R224" s="205"/>
      <c r="S224" s="205"/>
      <c r="T224" s="205"/>
      <c r="U224" s="205"/>
      <c r="V224" s="205"/>
      <c r="W224" s="205"/>
      <c r="X224" s="205"/>
      <c r="Y224" s="205"/>
      <c r="Z224" s="205"/>
      <c r="AA224" s="205"/>
      <c r="AB224" s="205"/>
      <c r="AC224" s="205"/>
      <c r="AD224" s="206"/>
      <c r="AE224" s="207" t="str">
        <f t="shared" ca="1" si="158"/>
        <v/>
      </c>
      <c r="AF224" s="208"/>
      <c r="AG224" s="208"/>
      <c r="AH224" s="208"/>
      <c r="AI224" s="208"/>
      <c r="AJ224" s="208"/>
      <c r="AK224" s="208"/>
      <c r="AL224" s="209"/>
      <c r="AM224" s="207" t="str">
        <f t="shared" ca="1" si="159"/>
        <v/>
      </c>
      <c r="AN224" s="208"/>
      <c r="AO224" s="208"/>
      <c r="AP224" s="208"/>
      <c r="AQ224" s="208"/>
      <c r="AR224" s="208"/>
      <c r="AS224" s="208"/>
      <c r="AT224" s="208"/>
      <c r="AU224" s="208"/>
      <c r="AV224" s="208"/>
      <c r="AW224" s="208"/>
      <c r="AX224" s="208"/>
      <c r="AY224" s="208"/>
      <c r="AZ224" s="208"/>
      <c r="BA224" s="208"/>
      <c r="BB224" s="208"/>
      <c r="BC224" s="208"/>
      <c r="BD224" s="208"/>
      <c r="BE224" s="208"/>
      <c r="BF224" s="208"/>
      <c r="BG224" s="208"/>
      <c r="BH224" s="208"/>
      <c r="BI224" s="208"/>
      <c r="BJ224" s="210"/>
      <c r="BK224" s="32" t="str">
        <f t="shared" si="43"/>
        <v/>
      </c>
    </row>
    <row r="228" ht="13.5" customHeight="1"/>
    <row r="229" ht="13.5" customHeight="1"/>
    <row r="230" ht="13.5" customHeight="1"/>
    <row r="231" ht="13.5" customHeight="1"/>
    <row r="232" ht="13.5" customHeight="1"/>
    <row r="233" ht="13.5" customHeight="1"/>
    <row r="234" ht="13.5" customHeight="1"/>
    <row r="235" ht="13.5" customHeight="1"/>
  </sheetData>
  <mergeCells count="1112">
    <mergeCell ref="B221:F221"/>
    <mergeCell ref="G221:N221"/>
    <mergeCell ref="P221:AD221"/>
    <mergeCell ref="AE221:AL221"/>
    <mergeCell ref="AM221:BJ221"/>
    <mergeCell ref="B217:F217"/>
    <mergeCell ref="G217:N217"/>
    <mergeCell ref="P217:AD217"/>
    <mergeCell ref="AE217:AL217"/>
    <mergeCell ref="AM217:BJ217"/>
    <mergeCell ref="B218:F218"/>
    <mergeCell ref="G218:N218"/>
    <mergeCell ref="P218:AD218"/>
    <mergeCell ref="AE218:AL218"/>
    <mergeCell ref="AM218:BJ218"/>
    <mergeCell ref="B219:F219"/>
    <mergeCell ref="G219:N219"/>
    <mergeCell ref="P219:AD219"/>
    <mergeCell ref="AE219:AL219"/>
    <mergeCell ref="AM219:BJ219"/>
    <mergeCell ref="B220:F220"/>
    <mergeCell ref="G220:N220"/>
    <mergeCell ref="P220:AD220"/>
    <mergeCell ref="AE220:AL220"/>
    <mergeCell ref="AM220:BJ220"/>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B208:F208"/>
    <mergeCell ref="G208:N208"/>
    <mergeCell ref="P208:AD208"/>
    <mergeCell ref="AE208:AL208"/>
    <mergeCell ref="AM208:BJ208"/>
    <mergeCell ref="B209:F209"/>
    <mergeCell ref="G209:N209"/>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B212:F212"/>
    <mergeCell ref="G212:N212"/>
    <mergeCell ref="P212:AD212"/>
    <mergeCell ref="AE212:AL212"/>
    <mergeCell ref="AM212:BJ212"/>
    <mergeCell ref="B213:F213"/>
    <mergeCell ref="G213:N213"/>
    <mergeCell ref="AE168:AL168"/>
    <mergeCell ref="B162:F162"/>
    <mergeCell ref="G162:N162"/>
    <mergeCell ref="P162:AD162"/>
    <mergeCell ref="AE162:AL162"/>
    <mergeCell ref="AM162:BJ162"/>
    <mergeCell ref="AM178:BJ178"/>
    <mergeCell ref="B179:F179"/>
    <mergeCell ref="G179:N179"/>
    <mergeCell ref="P179:AD179"/>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AE199:AL199"/>
    <mergeCell ref="AM199:BJ199"/>
    <mergeCell ref="B200:F200"/>
    <mergeCell ref="B156:F156"/>
    <mergeCell ref="G156:N156"/>
    <mergeCell ref="P156:AD156"/>
    <mergeCell ref="AE156:AL156"/>
    <mergeCell ref="AM156:BJ156"/>
    <mergeCell ref="P177:AD177"/>
    <mergeCell ref="AE177:AL177"/>
    <mergeCell ref="AM177:BJ177"/>
    <mergeCell ref="G165:N165"/>
    <mergeCell ref="AM168:BJ168"/>
    <mergeCell ref="AM161:BJ161"/>
    <mergeCell ref="B163:F163"/>
    <mergeCell ref="G163:N163"/>
    <mergeCell ref="P163:AD163"/>
    <mergeCell ref="AE163:AL163"/>
    <mergeCell ref="AM163:BJ163"/>
    <mergeCell ref="B164:F164"/>
    <mergeCell ref="G164:N164"/>
    <mergeCell ref="P164:AD164"/>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G176:N176"/>
    <mergeCell ref="B155:F155"/>
    <mergeCell ref="G155:N155"/>
    <mergeCell ref="P155:AD155"/>
    <mergeCell ref="AE155:AL155"/>
    <mergeCell ref="AM155:BJ155"/>
    <mergeCell ref="AE173:AL173"/>
    <mergeCell ref="AM173:BJ173"/>
    <mergeCell ref="AE165:AL165"/>
    <mergeCell ref="AM165:BJ165"/>
    <mergeCell ref="B167:F167"/>
    <mergeCell ref="G167:N167"/>
    <mergeCell ref="P167:AD167"/>
    <mergeCell ref="AE167:AL167"/>
    <mergeCell ref="AM167:BJ167"/>
    <mergeCell ref="B169:F169"/>
    <mergeCell ref="G169:N169"/>
    <mergeCell ref="P169:AD169"/>
    <mergeCell ref="AE169:AL169"/>
    <mergeCell ref="AM169:BJ169"/>
    <mergeCell ref="B166:F166"/>
    <mergeCell ref="P165:AD165"/>
    <mergeCell ref="G170:N170"/>
    <mergeCell ref="P170:AD170"/>
    <mergeCell ref="B170:F170"/>
    <mergeCell ref="B168:F168"/>
    <mergeCell ref="G168:N168"/>
    <mergeCell ref="P168:AD168"/>
    <mergeCell ref="G166:N166"/>
    <mergeCell ref="P166:AD166"/>
    <mergeCell ref="B159:F159"/>
    <mergeCell ref="G159:N159"/>
    <mergeCell ref="P159:AD159"/>
    <mergeCell ref="G200:N200"/>
    <mergeCell ref="P200:AD200"/>
    <mergeCell ref="AE200:AL200"/>
    <mergeCell ref="AM200:BJ200"/>
    <mergeCell ref="P199:AD199"/>
    <mergeCell ref="B196:F196"/>
    <mergeCell ref="G196:N196"/>
    <mergeCell ref="P196:AD196"/>
    <mergeCell ref="AE196:AL196"/>
    <mergeCell ref="AM196:BJ196"/>
    <mergeCell ref="B194:F194"/>
    <mergeCell ref="G194:N194"/>
    <mergeCell ref="P194:AD194"/>
    <mergeCell ref="B197:F197"/>
    <mergeCell ref="G197:N197"/>
    <mergeCell ref="P197:AD197"/>
    <mergeCell ref="AE197:AL197"/>
    <mergeCell ref="AM197:BJ197"/>
    <mergeCell ref="AE194:AL194"/>
    <mergeCell ref="AM194:BJ194"/>
    <mergeCell ref="B195:F195"/>
    <mergeCell ref="G195:N195"/>
    <mergeCell ref="P195:AD195"/>
    <mergeCell ref="AE195:AL195"/>
    <mergeCell ref="AM195:BJ195"/>
    <mergeCell ref="B192:F192"/>
    <mergeCell ref="G192:N192"/>
    <mergeCell ref="P192:AD192"/>
    <mergeCell ref="AE192:AL192"/>
    <mergeCell ref="AM192:BJ192"/>
    <mergeCell ref="B190:F190"/>
    <mergeCell ref="G190:N190"/>
    <mergeCell ref="P190:AD190"/>
    <mergeCell ref="B193:F193"/>
    <mergeCell ref="G193:N193"/>
    <mergeCell ref="P193:AD193"/>
    <mergeCell ref="AE193:AL193"/>
    <mergeCell ref="AM193:BJ193"/>
    <mergeCell ref="AE190:AL190"/>
    <mergeCell ref="AM190:BJ190"/>
    <mergeCell ref="B191:F191"/>
    <mergeCell ref="G191:N191"/>
    <mergeCell ref="P191:AD191"/>
    <mergeCell ref="AE191:AL191"/>
    <mergeCell ref="AM191:BJ191"/>
    <mergeCell ref="B188:F188"/>
    <mergeCell ref="G188:N188"/>
    <mergeCell ref="P188:AD188"/>
    <mergeCell ref="AE188:AL188"/>
    <mergeCell ref="AM188:BJ188"/>
    <mergeCell ref="B182:F182"/>
    <mergeCell ref="G182:N182"/>
    <mergeCell ref="P182:AD182"/>
    <mergeCell ref="B186:F186"/>
    <mergeCell ref="G186:N186"/>
    <mergeCell ref="P186:AD186"/>
    <mergeCell ref="B189:F189"/>
    <mergeCell ref="G189:N189"/>
    <mergeCell ref="P189:AD189"/>
    <mergeCell ref="AE189:AL189"/>
    <mergeCell ref="AM189:BJ189"/>
    <mergeCell ref="AE186:AL186"/>
    <mergeCell ref="AM186:BJ186"/>
    <mergeCell ref="B187:F187"/>
    <mergeCell ref="G187:N187"/>
    <mergeCell ref="P187:AD187"/>
    <mergeCell ref="AE187:AL187"/>
    <mergeCell ref="AM187:BJ187"/>
    <mergeCell ref="AE184:AL184"/>
    <mergeCell ref="AM184:BJ184"/>
    <mergeCell ref="B185:F185"/>
    <mergeCell ref="G185:N185"/>
    <mergeCell ref="P185:AD185"/>
    <mergeCell ref="AE185:AL185"/>
    <mergeCell ref="AM185:BJ185"/>
    <mergeCell ref="AE182:AL182"/>
    <mergeCell ref="AM182:BJ182"/>
    <mergeCell ref="B183:F183"/>
    <mergeCell ref="G183:N183"/>
    <mergeCell ref="P183:AD183"/>
    <mergeCell ref="AE183:AL183"/>
    <mergeCell ref="AM183:BJ183"/>
    <mergeCell ref="B174:F174"/>
    <mergeCell ref="G174:N174"/>
    <mergeCell ref="P174:AD174"/>
    <mergeCell ref="AE174:AL174"/>
    <mergeCell ref="AM174:BJ174"/>
    <mergeCell ref="B175:F175"/>
    <mergeCell ref="G175:N175"/>
    <mergeCell ref="P175:AD175"/>
    <mergeCell ref="AE175:AL175"/>
    <mergeCell ref="AM175:BJ175"/>
    <mergeCell ref="B178:F178"/>
    <mergeCell ref="G178:N178"/>
    <mergeCell ref="P178:AD178"/>
    <mergeCell ref="AE178:AL178"/>
    <mergeCell ref="B180:F180"/>
    <mergeCell ref="G180:N180"/>
    <mergeCell ref="P180:AD180"/>
    <mergeCell ref="AE180:AL180"/>
    <mergeCell ref="AM180:BJ180"/>
    <mergeCell ref="B181:F181"/>
    <mergeCell ref="G181:N181"/>
    <mergeCell ref="P181:AD181"/>
    <mergeCell ref="AE181:AL181"/>
    <mergeCell ref="AM181:BJ181"/>
    <mergeCell ref="AE179:AL179"/>
    <mergeCell ref="AM179:BJ179"/>
    <mergeCell ref="B176:F176"/>
    <mergeCell ref="P176:AD176"/>
    <mergeCell ref="AE176:AL176"/>
    <mergeCell ref="AM176:BJ176"/>
    <mergeCell ref="B177:F177"/>
    <mergeCell ref="G177:N177"/>
    <mergeCell ref="B173:F173"/>
    <mergeCell ref="G173:N173"/>
    <mergeCell ref="P173:AD173"/>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51:N51"/>
    <mergeCell ref="G52:N52"/>
    <mergeCell ref="G35:N35"/>
    <mergeCell ref="G36:N36"/>
    <mergeCell ref="G37:N37"/>
    <mergeCell ref="G38:N38"/>
    <mergeCell ref="G39:N39"/>
    <mergeCell ref="G62:N62"/>
    <mergeCell ref="G63:N63"/>
    <mergeCell ref="G26:N26"/>
    <mergeCell ref="G27:N27"/>
    <mergeCell ref="G28:N28"/>
    <mergeCell ref="G29:N29"/>
    <mergeCell ref="G30:N30"/>
    <mergeCell ref="G31:N31"/>
    <mergeCell ref="G32:N32"/>
    <mergeCell ref="G33:N33"/>
    <mergeCell ref="G34:N34"/>
    <mergeCell ref="G50:N50"/>
    <mergeCell ref="G78:N78"/>
    <mergeCell ref="G40:N40"/>
    <mergeCell ref="G41:N41"/>
    <mergeCell ref="G42:N42"/>
    <mergeCell ref="G43:N43"/>
    <mergeCell ref="G75:N75"/>
    <mergeCell ref="G76:N76"/>
    <mergeCell ref="G64:N64"/>
    <mergeCell ref="G65:N65"/>
    <mergeCell ref="G66:N66"/>
    <mergeCell ref="G67:N67"/>
    <mergeCell ref="G68:N68"/>
    <mergeCell ref="G69:N69"/>
    <mergeCell ref="G70:N70"/>
    <mergeCell ref="G53:N53"/>
    <mergeCell ref="G74:N74"/>
    <mergeCell ref="G77:N77"/>
    <mergeCell ref="G8:N8"/>
    <mergeCell ref="G9:N9"/>
    <mergeCell ref="G10:N10"/>
    <mergeCell ref="G11:N11"/>
    <mergeCell ref="G12:N12"/>
    <mergeCell ref="G13:N13"/>
    <mergeCell ref="G72:N72"/>
    <mergeCell ref="G73:N7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54:N54"/>
    <mergeCell ref="G55:N55"/>
    <mergeCell ref="G56:N56"/>
    <mergeCell ref="G57:N57"/>
    <mergeCell ref="G44:N44"/>
    <mergeCell ref="G45:N45"/>
    <mergeCell ref="G46:N46"/>
    <mergeCell ref="G47:N47"/>
    <mergeCell ref="G48:N48"/>
    <mergeCell ref="G49:N49"/>
    <mergeCell ref="G25:N25"/>
    <mergeCell ref="G150:N150"/>
    <mergeCell ref="G151:N151"/>
    <mergeCell ref="G152:N152"/>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128:N128"/>
    <mergeCell ref="G135:N135"/>
    <mergeCell ref="G136:N136"/>
    <mergeCell ref="G137:N137"/>
    <mergeCell ref="G129:N129"/>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93:F93"/>
    <mergeCell ref="G120:N120"/>
    <mergeCell ref="B112:F112"/>
    <mergeCell ref="G112:N112"/>
    <mergeCell ref="G95:N95"/>
    <mergeCell ref="G96:N96"/>
    <mergeCell ref="G97:N97"/>
    <mergeCell ref="G98:N98"/>
    <mergeCell ref="G99:N99"/>
    <mergeCell ref="G100:N100"/>
    <mergeCell ref="B126:F126"/>
    <mergeCell ref="B117:F117"/>
    <mergeCell ref="G119:N119"/>
    <mergeCell ref="B94:F94"/>
    <mergeCell ref="B95:F95"/>
    <mergeCell ref="B120:F120"/>
    <mergeCell ref="B103:F103"/>
    <mergeCell ref="B104:F104"/>
    <mergeCell ref="B105:F105"/>
    <mergeCell ref="G117:N117"/>
    <mergeCell ref="B113:F113"/>
    <mergeCell ref="G113:N113"/>
    <mergeCell ref="B106:F106"/>
    <mergeCell ref="G102:N102"/>
    <mergeCell ref="G103:N103"/>
    <mergeCell ref="G93:N93"/>
    <mergeCell ref="G94:N94"/>
    <mergeCell ref="G85:N85"/>
    <mergeCell ref="G106:N106"/>
    <mergeCell ref="B64:F64"/>
    <mergeCell ref="B65:F65"/>
    <mergeCell ref="B66:F66"/>
    <mergeCell ref="B67:F67"/>
    <mergeCell ref="B68:F68"/>
    <mergeCell ref="B114:F114"/>
    <mergeCell ref="G114:N114"/>
    <mergeCell ref="G91:N91"/>
    <mergeCell ref="G92:N92"/>
    <mergeCell ref="B89:F89"/>
    <mergeCell ref="B90:F90"/>
    <mergeCell ref="B91:F91"/>
    <mergeCell ref="B92:F92"/>
    <mergeCell ref="B70:F70"/>
    <mergeCell ref="B71:F71"/>
    <mergeCell ref="B72:F72"/>
    <mergeCell ref="B79:F79"/>
    <mergeCell ref="B80:F80"/>
    <mergeCell ref="B81:F81"/>
    <mergeCell ref="B82:F82"/>
    <mergeCell ref="G79:N79"/>
    <mergeCell ref="G80:N80"/>
    <mergeCell ref="B53:F53"/>
    <mergeCell ref="B54:F54"/>
    <mergeCell ref="B55:F55"/>
    <mergeCell ref="B56:F56"/>
    <mergeCell ref="B57:F57"/>
    <mergeCell ref="B58:F58"/>
    <mergeCell ref="B59:F59"/>
    <mergeCell ref="B60:F60"/>
    <mergeCell ref="B85:F85"/>
    <mergeCell ref="B86:F86"/>
    <mergeCell ref="B87:F87"/>
    <mergeCell ref="B88:F88"/>
    <mergeCell ref="B100:F100"/>
    <mergeCell ref="B101:F101"/>
    <mergeCell ref="B102:F102"/>
    <mergeCell ref="G101:N101"/>
    <mergeCell ref="B69:F69"/>
    <mergeCell ref="G71:N71"/>
    <mergeCell ref="G58:N58"/>
    <mergeCell ref="B96:F96"/>
    <mergeCell ref="B97:F97"/>
    <mergeCell ref="B98:F98"/>
    <mergeCell ref="B99:F99"/>
    <mergeCell ref="G81:N81"/>
    <mergeCell ref="G82:N82"/>
    <mergeCell ref="B83:F83"/>
    <mergeCell ref="B84:F84"/>
    <mergeCell ref="B73:F73"/>
    <mergeCell ref="B74:F74"/>
    <mergeCell ref="B77:F77"/>
    <mergeCell ref="G83:N83"/>
    <mergeCell ref="G84:N84"/>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28:F28"/>
    <mergeCell ref="B141:F141"/>
    <mergeCell ref="B142:F142"/>
    <mergeCell ref="B143:F143"/>
    <mergeCell ref="B144:F144"/>
    <mergeCell ref="B145:F145"/>
    <mergeCell ref="B146:F146"/>
    <mergeCell ref="B147:F147"/>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78:F78"/>
    <mergeCell ref="B43:F43"/>
    <mergeCell ref="B44:F44"/>
    <mergeCell ref="B45:F45"/>
    <mergeCell ref="B46:F46"/>
    <mergeCell ref="B47:F47"/>
    <mergeCell ref="B48:F48"/>
    <mergeCell ref="B49:F49"/>
    <mergeCell ref="B51:F51"/>
    <mergeCell ref="B35:F35"/>
    <mergeCell ref="B36:F36"/>
    <mergeCell ref="B37:F37"/>
    <mergeCell ref="B38:F38"/>
    <mergeCell ref="B39:F39"/>
    <mergeCell ref="B40:F40"/>
    <mergeCell ref="B41:F41"/>
    <mergeCell ref="B42:F42"/>
    <mergeCell ref="B61:F61"/>
    <mergeCell ref="B62:F62"/>
    <mergeCell ref="P143:AD143"/>
    <mergeCell ref="AE143:AL143"/>
    <mergeCell ref="AM143:BJ143"/>
    <mergeCell ref="P144:AD144"/>
    <mergeCell ref="AE144:AL144"/>
    <mergeCell ref="AM144:BJ144"/>
    <mergeCell ref="AE135:AL135"/>
    <mergeCell ref="B148:F148"/>
    <mergeCell ref="B149:F149"/>
    <mergeCell ref="B132:F132"/>
    <mergeCell ref="B133:F133"/>
    <mergeCell ref="B134:F134"/>
    <mergeCell ref="B135:F135"/>
    <mergeCell ref="B136:F136"/>
    <mergeCell ref="B137:F137"/>
    <mergeCell ref="B138:F138"/>
    <mergeCell ref="B139:F139"/>
    <mergeCell ref="B140:F140"/>
    <mergeCell ref="G147:N147"/>
    <mergeCell ref="G148:N148"/>
    <mergeCell ref="G149:N149"/>
    <mergeCell ref="P133:AD133"/>
    <mergeCell ref="AE133:AL133"/>
    <mergeCell ref="AM133:BJ133"/>
    <mergeCell ref="P137:AD137"/>
    <mergeCell ref="AE137:AL137"/>
    <mergeCell ref="AM137:BJ137"/>
    <mergeCell ref="P138:AD138"/>
    <mergeCell ref="AE138:AL138"/>
    <mergeCell ref="AM138:BJ138"/>
    <mergeCell ref="P135:AD135"/>
    <mergeCell ref="P152:AD152"/>
    <mergeCell ref="AE152:AL152"/>
    <mergeCell ref="AM152:BJ152"/>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25:AD125"/>
    <mergeCell ref="AE125:AL125"/>
    <mergeCell ref="AM125:BJ125"/>
    <mergeCell ref="P128:AD128"/>
    <mergeCell ref="AE128:AL128"/>
    <mergeCell ref="P126:AD126"/>
    <mergeCell ref="AE126:AL126"/>
    <mergeCell ref="AM126:BJ126"/>
    <mergeCell ref="P127:AD127"/>
    <mergeCell ref="AM121:BJ121"/>
    <mergeCell ref="AM122:BJ122"/>
    <mergeCell ref="AM123:BJ123"/>
    <mergeCell ref="AM135:BJ135"/>
    <mergeCell ref="P136:AD136"/>
    <mergeCell ref="AE136:AL136"/>
    <mergeCell ref="AM136:BJ136"/>
    <mergeCell ref="AM131:BJ131"/>
    <mergeCell ref="AM129:BJ129"/>
    <mergeCell ref="AM134:BJ134"/>
    <mergeCell ref="AM130:BJ130"/>
    <mergeCell ref="AE159:AL159"/>
    <mergeCell ref="AM159:BJ159"/>
    <mergeCell ref="B165:F165"/>
    <mergeCell ref="AE166:AL166"/>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24:AL124"/>
    <mergeCell ref="AM124:BJ124"/>
    <mergeCell ref="B184:F184"/>
    <mergeCell ref="G184:N184"/>
    <mergeCell ref="P184:AD184"/>
    <mergeCell ref="B224:F224"/>
    <mergeCell ref="G224:N224"/>
    <mergeCell ref="P224:AD224"/>
    <mergeCell ref="AE224:AL224"/>
    <mergeCell ref="AM224:BJ224"/>
    <mergeCell ref="AE202:AL202"/>
    <mergeCell ref="AM206:BJ206"/>
    <mergeCell ref="B223:F223"/>
    <mergeCell ref="G223:N223"/>
    <mergeCell ref="P223:AD223"/>
    <mergeCell ref="AE223:AL223"/>
    <mergeCell ref="AM223:BJ223"/>
    <mergeCell ref="B222:F222"/>
    <mergeCell ref="G222:N222"/>
    <mergeCell ref="P222:AD222"/>
    <mergeCell ref="AE222:AL222"/>
    <mergeCell ref="B206:F206"/>
    <mergeCell ref="G206:N206"/>
    <mergeCell ref="P206:AD206"/>
    <mergeCell ref="AE206:AL206"/>
    <mergeCell ref="AM222:BJ222"/>
    <mergeCell ref="B202:F202"/>
    <mergeCell ref="G202:N202"/>
    <mergeCell ref="P202:AD202"/>
    <mergeCell ref="G204:N204"/>
    <mergeCell ref="P204:AD204"/>
    <mergeCell ref="B203:F203"/>
    <mergeCell ref="G203:N203"/>
    <mergeCell ref="P203:AD203"/>
    <mergeCell ref="AE203:AL203"/>
    <mergeCell ref="AM203:BJ203"/>
    <mergeCell ref="B204:F204"/>
    <mergeCell ref="AS1:AX1"/>
    <mergeCell ref="BE1:BJ1"/>
    <mergeCell ref="AS2:AX2"/>
    <mergeCell ref="AY2:BD2"/>
    <mergeCell ref="BE2:BJ2"/>
    <mergeCell ref="AY1:BD1"/>
    <mergeCell ref="AM202:BJ202"/>
    <mergeCell ref="AM166:BJ166"/>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33:AL33"/>
    <mergeCell ref="P13:AD13"/>
    <mergeCell ref="AE13:AL13"/>
    <mergeCell ref="AE9:AL9"/>
    <mergeCell ref="P9:AD9"/>
    <mergeCell ref="P64:AD64"/>
    <mergeCell ref="AE64:AL64"/>
    <mergeCell ref="AE95:AL95"/>
    <mergeCell ref="P103:AD103"/>
    <mergeCell ref="AE103:AL103"/>
    <mergeCell ref="P94:AD94"/>
    <mergeCell ref="AE94:AL94"/>
    <mergeCell ref="P105:AD105"/>
    <mergeCell ref="AE105:AL105"/>
    <mergeCell ref="B63:F63"/>
    <mergeCell ref="AE1:AR1"/>
    <mergeCell ref="AE2:AR2"/>
    <mergeCell ref="P109:AD109"/>
    <mergeCell ref="P110:AD110"/>
    <mergeCell ref="AE111:AL111"/>
    <mergeCell ref="AM111:BJ111"/>
    <mergeCell ref="AE108:AL108"/>
    <mergeCell ref="AM108:BJ108"/>
    <mergeCell ref="AE109:AL109"/>
    <mergeCell ref="B50:F5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59:AD59"/>
    <mergeCell ref="AE59:AL59"/>
    <mergeCell ref="AM59:BJ59"/>
    <mergeCell ref="P33:AD33"/>
    <mergeCell ref="P36:AD36"/>
    <mergeCell ref="AE36:AL36"/>
    <mergeCell ref="AM36:BJ36"/>
    <mergeCell ref="P60:AD60"/>
    <mergeCell ref="AM109:BJ109"/>
    <mergeCell ref="AE110:AL110"/>
    <mergeCell ref="P106:AD106"/>
    <mergeCell ref="AE106:AL106"/>
    <mergeCell ref="P51:AD51"/>
    <mergeCell ref="AE51:AL51"/>
    <mergeCell ref="AM51:BJ51"/>
    <mergeCell ref="P40:AD40"/>
    <mergeCell ref="P67:AD67"/>
    <mergeCell ref="AE67:AL67"/>
    <mergeCell ref="AM67:BJ67"/>
    <mergeCell ref="P62:AD62"/>
    <mergeCell ref="AE62:AL62"/>
    <mergeCell ref="AM62:BJ62"/>
    <mergeCell ref="P63:AD63"/>
    <mergeCell ref="AE63:AL63"/>
    <mergeCell ref="AM63:BJ63"/>
    <mergeCell ref="AM105:BJ105"/>
    <mergeCell ref="AE53:AL53"/>
    <mergeCell ref="AM53:BJ53"/>
    <mergeCell ref="P54:AD54"/>
    <mergeCell ref="AE54:AL54"/>
    <mergeCell ref="AM54:BJ54"/>
    <mergeCell ref="P49:AD49"/>
    <mergeCell ref="P37:AD37"/>
    <mergeCell ref="AE37:AL37"/>
    <mergeCell ref="AM37:BJ37"/>
    <mergeCell ref="P38:AD38"/>
    <mergeCell ref="AM15:BJ15"/>
    <mergeCell ref="AM26:BJ26"/>
    <mergeCell ref="P27:AD27"/>
    <mergeCell ref="AE27:AL27"/>
    <mergeCell ref="AM27:BJ27"/>
    <mergeCell ref="P28:AD28"/>
    <mergeCell ref="AE28:AL28"/>
    <mergeCell ref="AM28:BJ28"/>
    <mergeCell ref="AE26:AL26"/>
    <mergeCell ref="AM46:BJ46"/>
    <mergeCell ref="P47:AD47"/>
    <mergeCell ref="P50:AD50"/>
    <mergeCell ref="AE50:AL50"/>
    <mergeCell ref="AM50:BJ50"/>
    <mergeCell ref="P29:AD29"/>
    <mergeCell ref="AE29:AL29"/>
    <mergeCell ref="AM29:BJ29"/>
    <mergeCell ref="P30:AD30"/>
    <mergeCell ref="AE30:AL30"/>
    <mergeCell ref="AE40:AL40"/>
    <mergeCell ref="AM40:BJ40"/>
    <mergeCell ref="P41:AD41"/>
    <mergeCell ref="AE41:AL41"/>
    <mergeCell ref="AM41:BJ41"/>
    <mergeCell ref="P42:AD42"/>
    <mergeCell ref="AE42:AL42"/>
    <mergeCell ref="AM42:BJ42"/>
    <mergeCell ref="P32:AD32"/>
    <mergeCell ref="AE32:AL32"/>
    <mergeCell ref="AM33:BJ33"/>
    <mergeCell ref="P34:AD34"/>
    <mergeCell ref="AE34:AL34"/>
    <mergeCell ref="AE38:AL38"/>
    <mergeCell ref="AM38:BJ38"/>
    <mergeCell ref="P39:AD39"/>
    <mergeCell ref="AE60:AL60"/>
    <mergeCell ref="P46:AD46"/>
    <mergeCell ref="P61:AD61"/>
    <mergeCell ref="AE61:AL61"/>
    <mergeCell ref="AM61:BJ61"/>
    <mergeCell ref="AE46:AL46"/>
    <mergeCell ref="P57:AD57"/>
    <mergeCell ref="AE57:AL57"/>
    <mergeCell ref="AM57:BJ57"/>
    <mergeCell ref="AE49:AL49"/>
    <mergeCell ref="AM49:BJ49"/>
    <mergeCell ref="P58:AD58"/>
    <mergeCell ref="AE58:AL58"/>
    <mergeCell ref="AM58:BJ58"/>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31:AD31"/>
    <mergeCell ref="AE31:AL31"/>
    <mergeCell ref="AM31:BJ31"/>
    <mergeCell ref="P24:AD24"/>
    <mergeCell ref="AE24:AL24"/>
    <mergeCell ref="AM24:BJ24"/>
    <mergeCell ref="P25:AD25"/>
    <mergeCell ref="AE25:AL25"/>
    <mergeCell ref="AM25:BJ25"/>
    <mergeCell ref="P23:AD23"/>
    <mergeCell ref="AE23:AL23"/>
    <mergeCell ref="AM23:BJ23"/>
    <mergeCell ref="P26:AD26"/>
    <mergeCell ref="AM13:BJ13"/>
    <mergeCell ref="P15:AD15"/>
    <mergeCell ref="AE15:AL15"/>
    <mergeCell ref="AM32:BJ32"/>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39:AL39"/>
    <mergeCell ref="AM39:BJ39"/>
    <mergeCell ref="AM64:BJ64"/>
    <mergeCell ref="AE68:AL68"/>
    <mergeCell ref="AM68:BJ68"/>
    <mergeCell ref="P79:AD79"/>
    <mergeCell ref="AE79:AL79"/>
    <mergeCell ref="AM79:BJ79"/>
    <mergeCell ref="AM78:BJ78"/>
    <mergeCell ref="P65:AD65"/>
    <mergeCell ref="AE65:AL65"/>
    <mergeCell ref="AM65:BJ65"/>
    <mergeCell ref="P66:AD66"/>
    <mergeCell ref="AE66:AL66"/>
    <mergeCell ref="AM66:BJ66"/>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AM95:BJ95"/>
    <mergeCell ref="P98:AD98"/>
    <mergeCell ref="AE98:AL98"/>
    <mergeCell ref="AE92:AL92"/>
    <mergeCell ref="AM92:BJ92"/>
    <mergeCell ref="P99:AD99"/>
    <mergeCell ref="AE99:AL99"/>
    <mergeCell ref="AM99:BJ99"/>
    <mergeCell ref="P96:AD96"/>
    <mergeCell ref="AE96:AL96"/>
    <mergeCell ref="AM96:BJ96"/>
    <mergeCell ref="P80:AD80"/>
    <mergeCell ref="AE80:AL80"/>
    <mergeCell ref="AM80:BJ80"/>
    <mergeCell ref="P71:AD71"/>
    <mergeCell ref="AE71:AL71"/>
    <mergeCell ref="AM71:BJ71"/>
    <mergeCell ref="P72:AD72"/>
    <mergeCell ref="AE72:AL72"/>
    <mergeCell ref="AM72:BJ72"/>
    <mergeCell ref="P77:AD77"/>
    <mergeCell ref="AE77:AL77"/>
    <mergeCell ref="AM77:BJ77"/>
    <mergeCell ref="P78:AD78"/>
    <mergeCell ref="AE78:AL78"/>
    <mergeCell ref="AM98:BJ98"/>
    <mergeCell ref="AE90:AL90"/>
    <mergeCell ref="AM90:BJ90"/>
    <mergeCell ref="AM84:BJ84"/>
    <mergeCell ref="P93:AD93"/>
    <mergeCell ref="AE93:AL93"/>
    <mergeCell ref="AM93:BJ93"/>
    <mergeCell ref="P100:AD100"/>
    <mergeCell ref="AE100:AL100"/>
    <mergeCell ref="AM100:BJ100"/>
    <mergeCell ref="P101:AD101"/>
    <mergeCell ref="P104:AD104"/>
    <mergeCell ref="AE104:AL104"/>
    <mergeCell ref="AM104:BJ104"/>
    <mergeCell ref="AE101:AL101"/>
    <mergeCell ref="AM132:BJ132"/>
    <mergeCell ref="AE121:AL121"/>
    <mergeCell ref="P131:AD131"/>
    <mergeCell ref="AE131:AL131"/>
    <mergeCell ref="P122:AD122"/>
    <mergeCell ref="AE122:AL122"/>
    <mergeCell ref="P123:AD123"/>
    <mergeCell ref="AE123:AL123"/>
    <mergeCell ref="P129:AD129"/>
    <mergeCell ref="AE129:AL129"/>
    <mergeCell ref="AE132:AL132"/>
    <mergeCell ref="P119:AD119"/>
    <mergeCell ref="AE119:AL119"/>
    <mergeCell ref="AM119:BJ119"/>
    <mergeCell ref="P112:AD112"/>
    <mergeCell ref="AE112:AL112"/>
    <mergeCell ref="AM110:BJ110"/>
    <mergeCell ref="P113:AD113"/>
    <mergeCell ref="AE113:AL113"/>
    <mergeCell ref="AM113:BJ113"/>
    <mergeCell ref="P120:AD120"/>
    <mergeCell ref="AE120:AL120"/>
    <mergeCell ref="AM120:BJ120"/>
    <mergeCell ref="P124:AD124"/>
    <mergeCell ref="AE204:AL204"/>
    <mergeCell ref="AM204:BJ204"/>
    <mergeCell ref="B207:F207"/>
    <mergeCell ref="G207:N207"/>
    <mergeCell ref="P207:AD207"/>
    <mergeCell ref="AE207:AL207"/>
    <mergeCell ref="AM207:BJ207"/>
    <mergeCell ref="B205:F205"/>
    <mergeCell ref="G205:N205"/>
    <mergeCell ref="P205:AD205"/>
    <mergeCell ref="AE205:AL205"/>
    <mergeCell ref="AM205:BJ205"/>
    <mergeCell ref="P81:AD81"/>
    <mergeCell ref="AE81:AL81"/>
    <mergeCell ref="AM81:BJ81"/>
    <mergeCell ref="P82:AD82"/>
    <mergeCell ref="AE82:AL82"/>
    <mergeCell ref="AM82:BJ82"/>
    <mergeCell ref="P83:AD83"/>
    <mergeCell ref="AE83:AL83"/>
    <mergeCell ref="AM83:BJ83"/>
    <mergeCell ref="B160:F160"/>
    <mergeCell ref="G160:N160"/>
    <mergeCell ref="P160:AD160"/>
    <mergeCell ref="AE160:AL160"/>
    <mergeCell ref="AM160:BJ160"/>
    <mergeCell ref="B161:F161"/>
    <mergeCell ref="G161:N161"/>
    <mergeCell ref="P161:AD161"/>
    <mergeCell ref="AE161:AL161"/>
    <mergeCell ref="P84:AD84"/>
    <mergeCell ref="AE84:AL84"/>
    <mergeCell ref="AE164:AL164"/>
    <mergeCell ref="AM164:BJ164"/>
    <mergeCell ref="AM94:BJ94"/>
    <mergeCell ref="P90:AD90"/>
    <mergeCell ref="AM101:BJ101"/>
    <mergeCell ref="P102:AD102"/>
    <mergeCell ref="AE102:AL102"/>
    <mergeCell ref="AM102:BJ102"/>
    <mergeCell ref="P91:AD91"/>
    <mergeCell ref="AE91:AL91"/>
    <mergeCell ref="AM91:BJ91"/>
    <mergeCell ref="P92:AD92"/>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M103:BJ103"/>
    <mergeCell ref="P97:AD97"/>
    <mergeCell ref="AE97:AL97"/>
    <mergeCell ref="AM97:BJ97"/>
  </mergeCells>
  <phoneticPr fontId="9"/>
  <conditionalFormatting sqref="B110:F112 B108:N109 G7:N7 G110:N152 G9:N19 G21:N72 G80:N106 B175:N179 B170:N173 B181:N202">
    <cfRule type="expression" dxfId="98" priority="198">
      <formula>B6=B7</formula>
    </cfRule>
  </conditionalFormatting>
  <conditionalFormatting sqref="O2:AD2">
    <cfRule type="expression" dxfId="97" priority="192">
      <formula>$O$2=""</formula>
    </cfRule>
  </conditionalFormatting>
  <conditionalFormatting sqref="B166:N166">
    <cfRule type="expression" dxfId="96" priority="153">
      <formula>#REF!=B166</formula>
    </cfRule>
  </conditionalFormatting>
  <conditionalFormatting sqref="G157:N157">
    <cfRule type="expression" dxfId="95" priority="200">
      <formula>#REF!=G157</formula>
    </cfRule>
  </conditionalFormatting>
  <conditionalFormatting sqref="B157:F157">
    <cfRule type="expression" dxfId="94" priority="155">
      <formula>#REF!=B157</formula>
    </cfRule>
  </conditionalFormatting>
  <conditionalFormatting sqref="B222:N222">
    <cfRule type="expression" dxfId="93" priority="147">
      <formula>#REF!=B222</formula>
    </cfRule>
  </conditionalFormatting>
  <conditionalFormatting sqref="B224:N224 B119:F152 B10:F19 B22:F72 B81:F106 B169:N169">
    <cfRule type="expression" dxfId="92" priority="201">
      <formula>B8=B10</formula>
    </cfRule>
  </conditionalFormatting>
  <conditionalFormatting sqref="B223:F223">
    <cfRule type="expression" dxfId="91" priority="143">
      <formula>B222=B223</formula>
    </cfRule>
  </conditionalFormatting>
  <conditionalFormatting sqref="G223:N223">
    <cfRule type="expression" dxfId="90" priority="144">
      <formula>G222=G223</formula>
    </cfRule>
  </conditionalFormatting>
  <conditionalFormatting sqref="G158:N158">
    <cfRule type="expression" dxfId="89" priority="141">
      <formula>G157=G158</formula>
    </cfRule>
  </conditionalFormatting>
  <conditionalFormatting sqref="B158:F158">
    <cfRule type="expression" dxfId="88" priority="140">
      <formula>B157=B158</formula>
    </cfRule>
  </conditionalFormatting>
  <conditionalFormatting sqref="G154:N154">
    <cfRule type="expression" dxfId="87" priority="126">
      <formula>G153=G154</formula>
    </cfRule>
  </conditionalFormatting>
  <conditionalFormatting sqref="B154:F154">
    <cfRule type="expression" dxfId="86" priority="125">
      <formula>B153=B154</formula>
    </cfRule>
  </conditionalFormatting>
  <conditionalFormatting sqref="B153:N153">
    <cfRule type="expression" dxfId="85" priority="202">
      <formula>#REF!=B153</formula>
    </cfRule>
  </conditionalFormatting>
  <conditionalFormatting sqref="B113:F113">
    <cfRule type="expression" dxfId="84" priority="118">
      <formula>B111=B113</formula>
    </cfRule>
  </conditionalFormatting>
  <conditionalFormatting sqref="B114:F118">
    <cfRule type="expression" dxfId="83" priority="117">
      <formula>B112=B114</formula>
    </cfRule>
  </conditionalFormatting>
  <conditionalFormatting sqref="B7:F7">
    <cfRule type="expression" dxfId="82" priority="82">
      <formula>B106=B7</formula>
    </cfRule>
  </conditionalFormatting>
  <conditionalFormatting sqref="G159:N159">
    <cfRule type="expression" dxfId="81" priority="80">
      <formula>G158=G159</formula>
    </cfRule>
  </conditionalFormatting>
  <conditionalFormatting sqref="B159:F159">
    <cfRule type="expression" dxfId="80" priority="79">
      <formula>B158=B159</formula>
    </cfRule>
  </conditionalFormatting>
  <conditionalFormatting sqref="G165:N165">
    <cfRule type="expression" dxfId="79" priority="78">
      <formula>G159=G165</formula>
    </cfRule>
  </conditionalFormatting>
  <conditionalFormatting sqref="B165:F165">
    <cfRule type="expression" dxfId="78" priority="77">
      <formula>B159=B165</formula>
    </cfRule>
  </conditionalFormatting>
  <conditionalFormatting sqref="G167:N167">
    <cfRule type="expression" dxfId="77" priority="75">
      <formula>G166=G167</formula>
    </cfRule>
  </conditionalFormatting>
  <conditionalFormatting sqref="B167:F167">
    <cfRule type="expression" dxfId="76" priority="74">
      <formula>B166=B167</formula>
    </cfRule>
  </conditionalFormatting>
  <conditionalFormatting sqref="B6:N6">
    <cfRule type="expression" dxfId="75" priority="71">
      <formula>B3=B6</formula>
    </cfRule>
  </conditionalFormatting>
  <conditionalFormatting sqref="G107:N107">
    <cfRule type="expression" dxfId="74" priority="70">
      <formula>G7=G107</formula>
    </cfRule>
  </conditionalFormatting>
  <conditionalFormatting sqref="B107:F107">
    <cfRule type="expression" dxfId="73" priority="67">
      <formula>B7=B107</formula>
    </cfRule>
  </conditionalFormatting>
  <conditionalFormatting sqref="B20:F21">
    <cfRule type="expression" dxfId="72" priority="205">
      <formula>B18=B20</formula>
    </cfRule>
  </conditionalFormatting>
  <conditionalFormatting sqref="G20:N20">
    <cfRule type="expression" dxfId="71" priority="209">
      <formula>G19=G20</formula>
    </cfRule>
  </conditionalFormatting>
  <conditionalFormatting sqref="B8:F9">
    <cfRule type="expression" dxfId="70" priority="210">
      <formula>B151=B8</formula>
    </cfRule>
  </conditionalFormatting>
  <conditionalFormatting sqref="G8:N8">
    <cfRule type="expression" dxfId="69" priority="211">
      <formula>G152=G8</formula>
    </cfRule>
  </conditionalFormatting>
  <conditionalFormatting sqref="G156:N156">
    <cfRule type="expression" dxfId="68" priority="66">
      <formula>G154=G156</formula>
    </cfRule>
  </conditionalFormatting>
  <conditionalFormatting sqref="B156:F156">
    <cfRule type="expression" dxfId="67" priority="65">
      <formula>B154=B156</formula>
    </cfRule>
  </conditionalFormatting>
  <conditionalFormatting sqref="G155:N155">
    <cfRule type="expression" dxfId="66" priority="64">
      <formula>G154=G155</formula>
    </cfRule>
  </conditionalFormatting>
  <conditionalFormatting sqref="B155:F155">
    <cfRule type="expression" dxfId="65" priority="63">
      <formula>B154=B155</formula>
    </cfRule>
  </conditionalFormatting>
  <conditionalFormatting sqref="B168:F168">
    <cfRule type="expression" dxfId="64" priority="61">
      <formula>B202=B168</formula>
    </cfRule>
  </conditionalFormatting>
  <conditionalFormatting sqref="G168:N168">
    <cfRule type="expression" dxfId="63" priority="62">
      <formula>G202=G168</formula>
    </cfRule>
  </conditionalFormatting>
  <conditionalFormatting sqref="G160:N160">
    <cfRule type="expression" dxfId="62" priority="60">
      <formula>G158=G160</formula>
    </cfRule>
  </conditionalFormatting>
  <conditionalFormatting sqref="B160:F160">
    <cfRule type="expression" dxfId="61" priority="59">
      <formula>B158=B160</formula>
    </cfRule>
  </conditionalFormatting>
  <conditionalFormatting sqref="G161:N161">
    <cfRule type="expression" dxfId="60" priority="58">
      <formula>G158=G161</formula>
    </cfRule>
  </conditionalFormatting>
  <conditionalFormatting sqref="B161:F161">
    <cfRule type="expression" dxfId="59" priority="57">
      <formula>B158=B161</formula>
    </cfRule>
  </conditionalFormatting>
  <conditionalFormatting sqref="G203:N203">
    <cfRule type="expression" dxfId="58" priority="56">
      <formula>#REF!=G203</formula>
    </cfRule>
  </conditionalFormatting>
  <conditionalFormatting sqref="B203:F203">
    <cfRule type="expression" dxfId="57" priority="55">
      <formula>#REF!=B203</formula>
    </cfRule>
  </conditionalFormatting>
  <conditionalFormatting sqref="B204:F204">
    <cfRule type="expression" dxfId="56" priority="51">
      <formula>B203=B204</formula>
    </cfRule>
  </conditionalFormatting>
  <conditionalFormatting sqref="G204:N204">
    <cfRule type="expression" dxfId="55" priority="52">
      <formula>G203=G204</formula>
    </cfRule>
  </conditionalFormatting>
  <conditionalFormatting sqref="B205:F205">
    <cfRule type="expression" dxfId="54" priority="49">
      <formula>B204=B205</formula>
    </cfRule>
  </conditionalFormatting>
  <conditionalFormatting sqref="G205:N205">
    <cfRule type="expression" dxfId="53" priority="50">
      <formula>G204=G205</formula>
    </cfRule>
  </conditionalFormatting>
  <conditionalFormatting sqref="B206:F206">
    <cfRule type="expression" dxfId="52" priority="47">
      <formula>B205=B206</formula>
    </cfRule>
  </conditionalFormatting>
  <conditionalFormatting sqref="G206:N206">
    <cfRule type="expression" dxfId="51" priority="48">
      <formula>G205=G206</formula>
    </cfRule>
  </conditionalFormatting>
  <conditionalFormatting sqref="G79:N79 B180:N180">
    <cfRule type="expression" dxfId="50" priority="213">
      <formula>B72=B79</formula>
    </cfRule>
  </conditionalFormatting>
  <conditionalFormatting sqref="B79:F80">
    <cfRule type="expression" dxfId="49" priority="216">
      <formula>B71=B79</formula>
    </cfRule>
  </conditionalFormatting>
  <conditionalFormatting sqref="G73:N78">
    <cfRule type="expression" dxfId="48" priority="45">
      <formula>G72=G73</formula>
    </cfRule>
  </conditionalFormatting>
  <conditionalFormatting sqref="B73:F78">
    <cfRule type="expression" dxfId="47" priority="46">
      <formula>B71=B73</formula>
    </cfRule>
  </conditionalFormatting>
  <conditionalFormatting sqref="B174:N174">
    <cfRule type="expression" dxfId="46" priority="218">
      <formula>B168=B174</formula>
    </cfRule>
  </conditionalFormatting>
  <conditionalFormatting sqref="G162:N162">
    <cfRule type="expression" dxfId="45" priority="42">
      <formula>G159=G162</formula>
    </cfRule>
  </conditionalFormatting>
  <conditionalFormatting sqref="B162:F162">
    <cfRule type="expression" dxfId="44" priority="41">
      <formula>B159=B162</formula>
    </cfRule>
  </conditionalFormatting>
  <conditionalFormatting sqref="G163:N163">
    <cfRule type="expression" dxfId="43" priority="40">
      <formula>G160=G163</formula>
    </cfRule>
  </conditionalFormatting>
  <conditionalFormatting sqref="B163:F163">
    <cfRule type="expression" dxfId="42" priority="39">
      <formula>B160=B163</formula>
    </cfRule>
  </conditionalFormatting>
  <conditionalFormatting sqref="G164:N164">
    <cfRule type="expression" dxfId="41" priority="38">
      <formula>G161=G164</formula>
    </cfRule>
  </conditionalFormatting>
  <conditionalFormatting sqref="B164:F164">
    <cfRule type="expression" dxfId="40" priority="37">
      <formula>B161=B164</formula>
    </cfRule>
  </conditionalFormatting>
  <conditionalFormatting sqref="B207:F207">
    <cfRule type="expression" dxfId="39" priority="31">
      <formula>B206=B207</formula>
    </cfRule>
  </conditionalFormatting>
  <conditionalFormatting sqref="G207:N207">
    <cfRule type="expression" dxfId="38" priority="32">
      <formula>G206=G207</formula>
    </cfRule>
  </conditionalFormatting>
  <conditionalFormatting sqref="B208:F208">
    <cfRule type="expression" dxfId="37" priority="29">
      <formula>B207=B208</formula>
    </cfRule>
  </conditionalFormatting>
  <conditionalFormatting sqref="G208:N208">
    <cfRule type="expression" dxfId="36" priority="30">
      <formula>G207=G208</formula>
    </cfRule>
  </conditionalFormatting>
  <conditionalFormatting sqref="B209:F209">
    <cfRule type="expression" dxfId="35" priority="27">
      <formula>B208=B209</formula>
    </cfRule>
  </conditionalFormatting>
  <conditionalFormatting sqref="G209:N209">
    <cfRule type="expression" dxfId="34" priority="28">
      <formula>G208=G209</formula>
    </cfRule>
  </conditionalFormatting>
  <conditionalFormatting sqref="B210:F210">
    <cfRule type="expression" dxfId="33" priority="25">
      <formula>B209=B210</formula>
    </cfRule>
  </conditionalFormatting>
  <conditionalFormatting sqref="G210:N210">
    <cfRule type="expression" dxfId="32" priority="26">
      <formula>G209=G210</formula>
    </cfRule>
  </conditionalFormatting>
  <conditionalFormatting sqref="B211:F211">
    <cfRule type="expression" dxfId="31" priority="23">
      <formula>B210=B211</formula>
    </cfRule>
  </conditionalFormatting>
  <conditionalFormatting sqref="G211:N211">
    <cfRule type="expression" dxfId="30" priority="24">
      <formula>G210=G211</formula>
    </cfRule>
  </conditionalFormatting>
  <conditionalFormatting sqref="B212:F212">
    <cfRule type="expression" dxfId="29" priority="21">
      <formula>B211=B212</formula>
    </cfRule>
  </conditionalFormatting>
  <conditionalFormatting sqref="G212:N212">
    <cfRule type="expression" dxfId="28" priority="22">
      <formula>G211=G212</formula>
    </cfRule>
  </conditionalFormatting>
  <conditionalFormatting sqref="B213:F213">
    <cfRule type="expression" dxfId="27" priority="19">
      <formula>B212=B213</formula>
    </cfRule>
  </conditionalFormatting>
  <conditionalFormatting sqref="G213:N213">
    <cfRule type="expression" dxfId="26" priority="20">
      <formula>G212=G213</formula>
    </cfRule>
  </conditionalFormatting>
  <conditionalFormatting sqref="B214:F214">
    <cfRule type="expression" dxfId="25" priority="17">
      <formula>B213=B214</formula>
    </cfRule>
  </conditionalFormatting>
  <conditionalFormatting sqref="G214:N214">
    <cfRule type="expression" dxfId="24" priority="18">
      <formula>G213=G214</formula>
    </cfRule>
  </conditionalFormatting>
  <conditionalFormatting sqref="B215:F215">
    <cfRule type="expression" dxfId="23" priority="15">
      <formula>B214=B215</formula>
    </cfRule>
  </conditionalFormatting>
  <conditionalFormatting sqref="G215:N215">
    <cfRule type="expression" dxfId="22" priority="16">
      <formula>G214=G215</formula>
    </cfRule>
  </conditionalFormatting>
  <conditionalFormatting sqref="B216:F216">
    <cfRule type="expression" dxfId="21" priority="13">
      <formula>B215=B216</formula>
    </cfRule>
  </conditionalFormatting>
  <conditionalFormatting sqref="G216:N216">
    <cfRule type="expression" dxfId="20" priority="14">
      <formula>G215=G216</formula>
    </cfRule>
  </conditionalFormatting>
  <conditionalFormatting sqref="B217:F217">
    <cfRule type="expression" dxfId="19" priority="11">
      <formula>B216=B217</formula>
    </cfRule>
  </conditionalFormatting>
  <conditionalFormatting sqref="G217:N217">
    <cfRule type="expression" dxfId="18" priority="12">
      <formula>G216=G217</formula>
    </cfRule>
  </conditionalFormatting>
  <conditionalFormatting sqref="B218:F218">
    <cfRule type="expression" dxfId="17" priority="9">
      <formula>B217=B218</formula>
    </cfRule>
  </conditionalFormatting>
  <conditionalFormatting sqref="G218:N218">
    <cfRule type="expression" dxfId="16" priority="10">
      <formula>G217=G218</formula>
    </cfRule>
  </conditionalFormatting>
  <conditionalFormatting sqref="B219:F219">
    <cfRule type="expression" dxfId="15" priority="7">
      <formula>B218=B219</formula>
    </cfRule>
  </conditionalFormatting>
  <conditionalFormatting sqref="G219:N219">
    <cfRule type="expression" dxfId="14" priority="8">
      <formula>G218=G219</formula>
    </cfRule>
  </conditionalFormatting>
  <conditionalFormatting sqref="B220:F220">
    <cfRule type="expression" dxfId="13" priority="5">
      <formula>B219=B220</formula>
    </cfRule>
  </conditionalFormatting>
  <conditionalFormatting sqref="G220:N220">
    <cfRule type="expression" dxfId="12" priority="6">
      <formula>G219=G220</formula>
    </cfRule>
  </conditionalFormatting>
  <conditionalFormatting sqref="B221:F221">
    <cfRule type="expression" dxfId="11" priority="3">
      <formula>B220=B221</formula>
    </cfRule>
  </conditionalFormatting>
  <conditionalFormatting sqref="G221:N221">
    <cfRule type="expression" dxfId="10" priority="4">
      <formula>G220=G221</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222:AD222" location="セレクト_疾患データ_大区分!A1" display="セレクト_疾患データ_大区分"/>
    <hyperlink ref="P223:AD223" location="セレクト_疾患データ_小区分!A1" display="セレクト_疾患データ_小区分"/>
    <hyperlink ref="P158:AD158" location="施設マスタ!A1" display="施設マスタ"/>
    <hyperlink ref="P154:AD154" location="組入れ_対象疾患!A1" display="組入れ_対象疾患"/>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5:AD165" location="検体検査マスタ!A1" display="検体検査マスタ"/>
    <hyperlink ref="P166:AD166" location="ベース_処方データ!A1" display="ベース_処方データ"/>
    <hyperlink ref="P167:AD167"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202:AD202" location="ベース_検歴情報モジュール_検歴項目情報!A1" display="ベース_検歴情報モジュール_検歴項目情報"/>
    <hyperlink ref="P156:AD156" location="組入れ_対象患者!A1" display="組入れ_対象患者"/>
    <hyperlink ref="P155:AD155" location="組入れ_対象処方!A1" display="組入れ_対象処方"/>
    <hyperlink ref="P168:AD168" location="ベース_疾患データ!A1" display="ベース_疾患データ"/>
    <hyperlink ref="P160:AD160" location="疾患マスタ!A1" display="疾患マスタ"/>
    <hyperlink ref="P161:AD161" location="薬剤マスタ!A1" display="薬剤マスタ"/>
    <hyperlink ref="P203:AD203" location="ワーク_患者基本データ_DPC!A1" display="ワーク_患者基本データ_DPC"/>
    <hyperlink ref="P207:AD207" location="ワーク_疾患データ_MML!A1" display="ワーク_疾患データ_MML"/>
    <hyperlink ref="P204:AD204" location="ワーク_患者基本データ_RCP_MML!A1" display="ワーク_患者基本データ_RCP_MML"/>
    <hyperlink ref="P205:AD205" location="ワーク_疾患データ_DPC!A1" display="ワーク_疾患データ_DPC"/>
    <hyperlink ref="P206:AD206" location="ワーク_疾患データ_RCP!A1" display="ワーク_疾患データ_RCP"/>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62:AD162" location="MML薬剤名一覧!A1" display="MML薬剤名一覧"/>
    <hyperlink ref="P163:AD163" location="MML薬剤マスタ!A1" display="MML薬剤マスタ"/>
    <hyperlink ref="P164:AD164" location="診療行為マスタ!A1" display="診療行為マスタ"/>
    <hyperlink ref="P208:AD208" location="ワーク_入院退院_DPC!A1" display="ワーク_入院退院_DPC"/>
    <hyperlink ref="P209:AD209" location="ワーク_疾患データ_MML!A1" display="ワーク_疾患データ_MML"/>
    <hyperlink ref="P210:AD210" location="ワーク_入院退院!A1" display="ワーク_入院退院"/>
    <hyperlink ref="P211:AD211" location="ワーク_外来_DPC!A1" display="ワーク_外来_DPC"/>
    <hyperlink ref="P212:AD212" location="ワーク_外来_MML!A1" display="ワーク_外来_MML"/>
    <hyperlink ref="P213:AD213" location="ワーク_外来!A1" display="ワーク_外来"/>
    <hyperlink ref="P214:AD214" location="ワーク_処方データ_DPC!A1" display="ワーク_処方データ_DPC"/>
    <hyperlink ref="P215:AD215" location="ワーク_処方データ_MML!A1" display="ワーク_処方データ_MML"/>
    <hyperlink ref="P216:AD216" location="ワーク_診療行為データ!A1" display="ワーク_診療行為データ"/>
    <hyperlink ref="P217:AD217" location="ワーク_検体検査データ_スキーマ2!A1" display="ワーク_検体検査データ_スキーマ2"/>
    <hyperlink ref="P218:AD218" location="ワーク_検体検査データ_スキーマ4!A1" display="ワーク_検体検査データ_スキーマ4"/>
    <hyperlink ref="P219:AD219" location="ワーク_検体検査データ!A1" display="ワーク_検体検査データ"/>
    <hyperlink ref="P220:AD220" location="ワーク_テキスト情報_一時!A1" display="ワーク_テキスト情報_一時"/>
    <hyperlink ref="P221:AD221" location="ワーク_テキスト情報!A1" display="ワーク_テキスト情報"/>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24:F224"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ENT_01_01</v>
      </c>
      <c r="E6" s="244"/>
      <c r="F6" s="244"/>
      <c r="G6" s="244"/>
      <c r="H6" s="244"/>
      <c r="I6" s="244"/>
      <c r="J6" s="245"/>
    </row>
    <row r="7" spans="1:45">
      <c r="B7" s="233" t="s">
        <v>115</v>
      </c>
      <c r="C7" s="234"/>
      <c r="D7" s="235" t="s">
        <v>3691</v>
      </c>
      <c r="E7" s="236"/>
      <c r="F7" s="236"/>
      <c r="G7" s="236"/>
      <c r="H7" s="236"/>
      <c r="I7" s="236"/>
      <c r="J7" s="237"/>
    </row>
    <row r="8" spans="1:45">
      <c r="B8" s="233" t="s">
        <v>116</v>
      </c>
      <c r="C8" s="234"/>
      <c r="D8" s="235" t="str">
        <f>エンティティ一覧!AE2&amp;"_"&amp;D5&amp;"_shohou_first_criteria"</f>
        <v>sgioy_202310_backup_shohou_first_criteria</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ENT_01_02</v>
      </c>
      <c r="E6" s="244"/>
      <c r="F6" s="244"/>
      <c r="G6" s="244"/>
      <c r="H6" s="244"/>
      <c r="I6" s="244"/>
      <c r="J6" s="245"/>
    </row>
    <row r="7" spans="1:45">
      <c r="B7" s="233" t="s">
        <v>115</v>
      </c>
      <c r="C7" s="234"/>
      <c r="D7" s="235" t="s">
        <v>3692</v>
      </c>
      <c r="E7" s="236"/>
      <c r="F7" s="236"/>
      <c r="G7" s="236"/>
      <c r="H7" s="236"/>
      <c r="I7" s="236"/>
      <c r="J7" s="237"/>
    </row>
    <row r="8" spans="1:45">
      <c r="B8" s="233" t="s">
        <v>116</v>
      </c>
      <c r="C8" s="234"/>
      <c r="D8" s="235" t="str">
        <f>エンティティ一覧!AE2&amp;"_"&amp;D5&amp;"_kanja_first_criteria"</f>
        <v>sgioy_202310_backup_kanja_first_criteria</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ENT_01_A1-02</v>
      </c>
      <c r="E6" s="244"/>
      <c r="F6" s="244"/>
      <c r="G6" s="244"/>
      <c r="H6" s="244"/>
      <c r="I6" s="244"/>
      <c r="J6" s="245"/>
    </row>
    <row r="7" spans="1:45">
      <c r="B7" s="233" t="s">
        <v>115</v>
      </c>
      <c r="C7" s="234"/>
      <c r="D7" s="235" t="s">
        <v>1739</v>
      </c>
      <c r="E7" s="236"/>
      <c r="F7" s="236"/>
      <c r="G7" s="236"/>
      <c r="H7" s="236"/>
      <c r="I7" s="236"/>
      <c r="J7" s="237"/>
    </row>
    <row r="8" spans="1:45">
      <c r="B8" s="233" t="s">
        <v>116</v>
      </c>
      <c r="C8" s="234"/>
      <c r="D8" s="235" t="str">
        <f>エンティティ一覧!AE2&amp;"_"&amp;D5&amp;"_mart_shohou"</f>
        <v>sgioy_202310_backup_mart_shohou</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処方データテーブルから組入れ条件の第一条件で絞り込んだ結果を格納するテーブル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Z58"/>
  <sheetViews>
    <sheetView showGridLines="0" topLeftCell="A1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ENT_01_A1-03</v>
      </c>
      <c r="E6" s="244"/>
      <c r="F6" s="244"/>
      <c r="G6" s="244"/>
      <c r="H6" s="244"/>
      <c r="I6" s="244"/>
      <c r="J6" s="245"/>
    </row>
    <row r="7" spans="1:45">
      <c r="B7" s="233" t="s">
        <v>115</v>
      </c>
      <c r="C7" s="234"/>
      <c r="D7" s="235" t="s">
        <v>1766</v>
      </c>
      <c r="E7" s="236"/>
      <c r="F7" s="236"/>
      <c r="G7" s="236"/>
      <c r="H7" s="236"/>
      <c r="I7" s="236"/>
      <c r="J7" s="237"/>
    </row>
    <row r="8" spans="1:45">
      <c r="B8" s="233" t="s">
        <v>116</v>
      </c>
      <c r="C8" s="234"/>
      <c r="D8" s="235" t="str">
        <f>エンティティ一覧!AE2&amp;"_"&amp;D5&amp;"_mart_shinryou_koui"</f>
        <v>sgioy_202310_backup_mart_shinryou_koui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診療行為データテーブルから組入れ条件の第一条件で絞り込んだ結果を格納するテーブル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ENT_01_A1-04</v>
      </c>
      <c r="E6" s="244"/>
      <c r="F6" s="244"/>
      <c r="G6" s="244"/>
      <c r="H6" s="244"/>
      <c r="I6" s="244"/>
      <c r="J6" s="245"/>
    </row>
    <row r="7" spans="1:45">
      <c r="B7" s="233" t="s">
        <v>115</v>
      </c>
      <c r="C7" s="234"/>
      <c r="D7" s="235" t="s">
        <v>1775</v>
      </c>
      <c r="E7" s="236"/>
      <c r="F7" s="236"/>
      <c r="G7" s="236"/>
      <c r="H7" s="236"/>
      <c r="I7" s="236"/>
      <c r="J7" s="237"/>
    </row>
    <row r="8" spans="1:45">
      <c r="B8" s="233" t="s">
        <v>116</v>
      </c>
      <c r="C8" s="234"/>
      <c r="D8" s="235" t="str">
        <f>エンティティ一覧!AE2&amp;"_"&amp;D5&amp;"_mart_shikkan"</f>
        <v>sgioy_202310_backup_mart_shikkan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疾患データテーブルから組入れ条件の第一条件で絞り込んだ結果を格納するテーブル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2.2">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ht="34.799999999999997">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01</v>
      </c>
      <c r="E4" s="220"/>
      <c r="F4" s="220"/>
      <c r="G4" s="220"/>
      <c r="H4" s="220"/>
      <c r="I4" s="220"/>
      <c r="J4" s="221"/>
    </row>
    <row r="5" spans="1:52">
      <c r="B5" s="233" t="s">
        <v>3719</v>
      </c>
      <c r="C5" s="234"/>
      <c r="D5" s="243" t="str">
        <f>VLOOKUP(D7,エンティティ一覧!A1:'エンティティ一覧'!AM10179,7,FALSE)</f>
        <v>backup</v>
      </c>
      <c r="E5" s="244"/>
      <c r="F5" s="244"/>
      <c r="G5" s="244"/>
      <c r="H5" s="244"/>
      <c r="I5" s="244"/>
      <c r="J5" s="245"/>
    </row>
    <row r="6" spans="1:52">
      <c r="B6" s="233" t="s">
        <v>3720</v>
      </c>
      <c r="C6" s="234"/>
      <c r="D6" s="243" t="str">
        <f>VLOOKUP(D7,エンティティ一覧!A1:'エンティティ一覧'!AM10179,15,FALSE)</f>
        <v>ENT_01_A1-05</v>
      </c>
      <c r="E6" s="244"/>
      <c r="F6" s="244"/>
      <c r="G6" s="244"/>
      <c r="H6" s="244"/>
      <c r="I6" s="244"/>
      <c r="J6" s="245"/>
    </row>
    <row r="7" spans="1:52">
      <c r="B7" s="233" t="s">
        <v>115</v>
      </c>
      <c r="C7" s="234"/>
      <c r="D7" s="235" t="s">
        <v>1802</v>
      </c>
      <c r="E7" s="236"/>
      <c r="F7" s="236"/>
      <c r="G7" s="236"/>
      <c r="H7" s="236"/>
      <c r="I7" s="236"/>
      <c r="J7" s="237"/>
    </row>
    <row r="8" spans="1:52">
      <c r="B8" s="233" t="s">
        <v>116</v>
      </c>
      <c r="C8" s="234"/>
      <c r="D8" s="235" t="str">
        <f>エンティティ一覧!AE2&amp;"_"&amp;D5&amp;"_mart_shikkan_department"</f>
        <v>sgioy_202310_backup_mart_shikkan_department</v>
      </c>
      <c r="E8" s="236"/>
      <c r="F8" s="236"/>
      <c r="G8" s="236"/>
      <c r="H8" s="236"/>
      <c r="I8" s="236"/>
      <c r="J8" s="237"/>
    </row>
    <row r="9" spans="1:52" ht="19.5" customHeight="1" thickBot="1">
      <c r="B9" s="238" t="s">
        <v>117</v>
      </c>
      <c r="C9" s="239"/>
      <c r="D9" s="240" t="str">
        <f>SUBSTITUTE(D7,"バックアップ_","")&amp;"テーブルから組入れ条件の第一条件で絞り込んだ結果を格納するテーブル"</f>
        <v>疾患診療科データテーブルから組入れ条件の第一条件で絞り込んだ結果を格納するテーブル</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ht="34.799999999999997">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70.2"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ENT_01_A1-06</v>
      </c>
      <c r="E6" s="244"/>
      <c r="F6" s="244"/>
      <c r="G6" s="244"/>
      <c r="H6" s="244"/>
      <c r="I6" s="244"/>
      <c r="J6" s="245"/>
    </row>
    <row r="7" spans="1:45">
      <c r="B7" s="233" t="s">
        <v>115</v>
      </c>
      <c r="C7" s="234"/>
      <c r="D7" s="235" t="s">
        <v>1810</v>
      </c>
      <c r="E7" s="236"/>
      <c r="F7" s="236"/>
      <c r="G7" s="236"/>
      <c r="H7" s="236"/>
      <c r="I7" s="236"/>
      <c r="J7" s="237"/>
    </row>
    <row r="8" spans="1:45">
      <c r="B8" s="233" t="s">
        <v>116</v>
      </c>
      <c r="C8" s="234"/>
      <c r="D8" s="235" t="str">
        <f>エンティティ一覧!AE2&amp;"_"&amp;D5&amp;"_mart_nyu_tai_in"</f>
        <v>sgioy_202310_backup_mart_nyu_tai_in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入院退院データテーブルから組入れ条件の第一条件で絞り込んだ結果を格納するテーブル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5.4"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01</v>
      </c>
      <c r="E4" s="220"/>
      <c r="F4" s="220"/>
      <c r="G4" s="220"/>
      <c r="H4" s="220"/>
      <c r="I4" s="220"/>
      <c r="J4" s="221"/>
    </row>
    <row r="5" spans="1:52">
      <c r="B5" s="233" t="s">
        <v>3719</v>
      </c>
      <c r="C5" s="234"/>
      <c r="D5" s="243" t="str">
        <f>VLOOKUP(D7,エンティティ一覧!A1:'エンティティ一覧'!AM10179,7,FALSE)</f>
        <v>backup</v>
      </c>
      <c r="E5" s="244"/>
      <c r="F5" s="244"/>
      <c r="G5" s="244"/>
      <c r="H5" s="244"/>
      <c r="I5" s="244"/>
      <c r="J5" s="245"/>
    </row>
    <row r="6" spans="1:52">
      <c r="B6" s="233" t="s">
        <v>3720</v>
      </c>
      <c r="C6" s="234"/>
      <c r="D6" s="243" t="str">
        <f>VLOOKUP(D7,エンティティ一覧!A1:'エンティティ一覧'!AM10179,15,FALSE)</f>
        <v>ENT_01_A1-07</v>
      </c>
      <c r="E6" s="244"/>
      <c r="F6" s="244"/>
      <c r="G6" s="244"/>
      <c r="H6" s="244"/>
      <c r="I6" s="244"/>
      <c r="J6" s="245"/>
    </row>
    <row r="7" spans="1:52">
      <c r="B7" s="233" t="s">
        <v>115</v>
      </c>
      <c r="C7" s="234"/>
      <c r="D7" s="235" t="s">
        <v>1823</v>
      </c>
      <c r="E7" s="236"/>
      <c r="F7" s="236"/>
      <c r="G7" s="236"/>
      <c r="H7" s="236"/>
      <c r="I7" s="236"/>
      <c r="J7" s="237"/>
    </row>
    <row r="8" spans="1:52">
      <c r="B8" s="233" t="s">
        <v>116</v>
      </c>
      <c r="C8" s="234"/>
      <c r="D8" s="235" t="str">
        <f>エンティティ一覧!AE2&amp;"_"&amp;D5&amp;"_mart_2riyo_patient_id"</f>
        <v>sgioy_202310_backup_mart_2riyo_patient_id</v>
      </c>
      <c r="E8" s="236"/>
      <c r="F8" s="236"/>
      <c r="G8" s="236"/>
      <c r="H8" s="236"/>
      <c r="I8" s="236"/>
      <c r="J8" s="237"/>
    </row>
    <row r="9" spans="1:52" ht="19.5" customHeight="1" thickBot="1">
      <c r="B9" s="238" t="s">
        <v>117</v>
      </c>
      <c r="C9" s="239"/>
      <c r="D9" s="240"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ENT_01_A1-08</v>
      </c>
      <c r="E6" s="244"/>
      <c r="F6" s="244"/>
      <c r="G6" s="244"/>
      <c r="H6" s="244"/>
      <c r="I6" s="244"/>
      <c r="J6" s="245"/>
    </row>
    <row r="7" spans="1:45">
      <c r="B7" s="233" t="s">
        <v>115</v>
      </c>
      <c r="C7" s="234"/>
      <c r="D7" s="235" t="s">
        <v>1829</v>
      </c>
      <c r="E7" s="236"/>
      <c r="F7" s="236"/>
      <c r="G7" s="236"/>
      <c r="H7" s="236"/>
      <c r="I7" s="236"/>
      <c r="J7" s="237"/>
    </row>
    <row r="8" spans="1:45">
      <c r="B8" s="233" t="s">
        <v>116</v>
      </c>
      <c r="C8" s="234"/>
      <c r="D8" s="235" t="str">
        <f>エンティティ一覧!AE2&amp;"_"&amp;D5&amp;"_mart_2riyo_patient_id_dpc"</f>
        <v>sgioy_202310_backup_mart_2riyo_patient_id_dpc</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2.2">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87.6"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ENT_01_A1-09</v>
      </c>
      <c r="E6" s="244"/>
      <c r="F6" s="244"/>
      <c r="G6" s="244"/>
      <c r="H6" s="244"/>
      <c r="I6" s="244"/>
      <c r="J6" s="245"/>
    </row>
    <row r="7" spans="1:45">
      <c r="B7" s="233" t="s">
        <v>115</v>
      </c>
      <c r="C7" s="234"/>
      <c r="D7" s="235" t="s">
        <v>1839</v>
      </c>
      <c r="E7" s="236"/>
      <c r="F7" s="236"/>
      <c r="G7" s="236"/>
      <c r="H7" s="236"/>
      <c r="I7" s="236"/>
      <c r="J7" s="237"/>
    </row>
    <row r="8" spans="1:45">
      <c r="B8" s="233" t="s">
        <v>116</v>
      </c>
      <c r="C8" s="234"/>
      <c r="D8" s="235" t="str">
        <f>エンティティ一覧!AE2&amp;"_"&amp;D5&amp;"_mart_2riyo_patient_id_rcp"</f>
        <v>sgioy_202310_backup_mart_2riyo_patient_id_rcp</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2.8"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ENT_01_A1-10</v>
      </c>
      <c r="E6" s="244"/>
      <c r="F6" s="244"/>
      <c r="G6" s="244"/>
      <c r="H6" s="244"/>
      <c r="I6" s="244"/>
      <c r="J6" s="245"/>
    </row>
    <row r="7" spans="1:45">
      <c r="B7" s="233" t="s">
        <v>115</v>
      </c>
      <c r="C7" s="234"/>
      <c r="D7" s="235" t="s">
        <v>1842</v>
      </c>
      <c r="E7" s="236"/>
      <c r="F7" s="236"/>
      <c r="G7" s="236"/>
      <c r="H7" s="236"/>
      <c r="I7" s="236"/>
      <c r="J7" s="237"/>
    </row>
    <row r="8" spans="1:45">
      <c r="B8" s="233" t="s">
        <v>116</v>
      </c>
      <c r="C8" s="234"/>
      <c r="D8" s="235" t="str">
        <f>エンティティ一覧!AE2&amp;"_"&amp;D5&amp;"_mart_2riyo_patient_id_mml"</f>
        <v>sgioy_202310_backup_mart_2riyo_patient_id_mml</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ht="34.799999999999997">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2.2">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2.2">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2.8"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ENT_01_A1-11</v>
      </c>
      <c r="E6" s="244"/>
      <c r="F6" s="244"/>
      <c r="G6" s="244"/>
      <c r="H6" s="244"/>
      <c r="I6" s="244"/>
      <c r="J6" s="245"/>
    </row>
    <row r="7" spans="1:45">
      <c r="B7" s="233" t="s">
        <v>115</v>
      </c>
      <c r="C7" s="234"/>
      <c r="D7" s="235" t="s">
        <v>1846</v>
      </c>
      <c r="E7" s="236"/>
      <c r="F7" s="236"/>
      <c r="G7" s="236"/>
      <c r="H7" s="236"/>
      <c r="I7" s="236"/>
      <c r="J7" s="237"/>
    </row>
    <row r="8" spans="1:45">
      <c r="B8" s="233" t="s">
        <v>116</v>
      </c>
      <c r="C8" s="234"/>
      <c r="D8" s="235" t="str">
        <f>エンティティ一覧!AE2&amp;"_"&amp;D5&amp;"_mart_2riyo_patient_himoduke"</f>
        <v>sgioy_202310_backup_mart_2riyo_patient_himoduke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ENT_01_A1-13</v>
      </c>
      <c r="E6" s="244"/>
      <c r="F6" s="244"/>
      <c r="G6" s="244"/>
      <c r="H6" s="244"/>
      <c r="I6" s="244"/>
      <c r="J6" s="245"/>
    </row>
    <row r="7" spans="1:45">
      <c r="B7" s="233" t="s">
        <v>115</v>
      </c>
      <c r="C7" s="234"/>
      <c r="D7" s="235" t="s">
        <v>1852</v>
      </c>
      <c r="E7" s="236"/>
      <c r="F7" s="236"/>
      <c r="G7" s="236"/>
      <c r="H7" s="236"/>
      <c r="I7" s="236"/>
      <c r="J7" s="237"/>
    </row>
    <row r="8" spans="1:45">
      <c r="B8" s="233" t="s">
        <v>116</v>
      </c>
      <c r="C8" s="234"/>
      <c r="D8" s="235" t="str">
        <f>エンティティ一覧!AE2&amp;"_"&amp;D5&amp;"_mart_error_patient"</f>
        <v>sgioy_202310_backup_mart_error_patient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エラー患者データテーブルから組入れ条件の第一条件で絞り込んだ結果を格納するテーブル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ENT_01_A1-14</v>
      </c>
      <c r="E6" s="244"/>
      <c r="F6" s="244"/>
      <c r="G6" s="244"/>
      <c r="H6" s="244"/>
      <c r="I6" s="244"/>
      <c r="J6" s="245"/>
    </row>
    <row r="7" spans="1:45">
      <c r="B7" s="233" t="s">
        <v>115</v>
      </c>
      <c r="C7" s="234"/>
      <c r="D7" s="235" t="s">
        <v>1853</v>
      </c>
      <c r="E7" s="236"/>
      <c r="F7" s="236"/>
      <c r="G7" s="236"/>
      <c r="H7" s="236"/>
      <c r="I7" s="236"/>
      <c r="J7" s="237"/>
    </row>
    <row r="8" spans="1:45">
      <c r="B8" s="233" t="s">
        <v>116</v>
      </c>
      <c r="C8" s="234"/>
      <c r="D8" s="235" t="str">
        <f>エンティティ一覧!AE2&amp;"_"&amp;D5&amp;"_mart_patient_basic"</f>
        <v>sgioy_202310_backup_mart_patient_basic</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患者基本データテーブルから組入れ条件の第一条件で絞り込んだ結果を格納するテーブル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ht="34.799999999999997">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2.2">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ENT_01_A3-02</v>
      </c>
      <c r="E6" s="244"/>
      <c r="F6" s="244"/>
      <c r="G6" s="244"/>
      <c r="H6" s="244"/>
      <c r="I6" s="244"/>
      <c r="J6" s="245"/>
    </row>
    <row r="7" spans="1:45">
      <c r="B7" s="233" t="s">
        <v>115</v>
      </c>
      <c r="C7" s="234"/>
      <c r="D7" s="235" t="s">
        <v>1859</v>
      </c>
      <c r="E7" s="236"/>
      <c r="F7" s="236"/>
      <c r="G7" s="236"/>
      <c r="H7" s="236"/>
      <c r="I7" s="236"/>
      <c r="J7" s="237"/>
    </row>
    <row r="8" spans="1:45">
      <c r="B8" s="233" t="s">
        <v>116</v>
      </c>
      <c r="C8" s="234"/>
      <c r="D8" s="235" t="str">
        <f>エンティティ一覧!AE2&amp;"_"&amp;D5&amp;"_mt_shisetsu_zokusei"</f>
        <v>sgioy_202310_backup_mt_shisetsu_zokusei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ht="34.799999999999997">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ht="34.799999999999997">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ht="34.799999999999997">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ht="34.799999999999997">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ht="34.799999999999997">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4.799999999999997">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69.599999999999994">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21.8">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4.799999999999997">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4.799999999999997">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2.2">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8"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ENT_01_A3-03</v>
      </c>
      <c r="E6" s="244"/>
      <c r="F6" s="244"/>
      <c r="G6" s="244"/>
      <c r="H6" s="244"/>
      <c r="I6" s="244"/>
      <c r="J6" s="245"/>
    </row>
    <row r="7" spans="1:45">
      <c r="B7" s="233" t="s">
        <v>115</v>
      </c>
      <c r="C7" s="234"/>
      <c r="D7" s="235" t="s">
        <v>1895</v>
      </c>
      <c r="E7" s="236"/>
      <c r="F7" s="236"/>
      <c r="G7" s="236"/>
      <c r="H7" s="236"/>
      <c r="I7" s="236"/>
      <c r="J7" s="237"/>
    </row>
    <row r="8" spans="1:45">
      <c r="B8" s="233" t="s">
        <v>116</v>
      </c>
      <c r="C8" s="234"/>
      <c r="D8" s="235" t="str">
        <f>エンティティ一覧!AE2&amp;"_"&amp;D5&amp;"_mt_iryouken2"</f>
        <v>sgioy_202310_backup_mt_iryouken2</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4.799999999999997">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4.799999999999997">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4.799999999999997">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4.799999999999997">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4.799999999999997">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4.799999999999997">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4.799999999999997">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2.2">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2.2">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2.8"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ENT_01_A3-04</v>
      </c>
      <c r="E6" s="244"/>
      <c r="F6" s="244"/>
      <c r="G6" s="244"/>
      <c r="H6" s="244"/>
      <c r="I6" s="244"/>
      <c r="J6" s="245"/>
    </row>
    <row r="7" spans="1:45">
      <c r="B7" s="233" t="s">
        <v>115</v>
      </c>
      <c r="C7" s="234"/>
      <c r="D7" s="235" t="s">
        <v>1915</v>
      </c>
      <c r="E7" s="236"/>
      <c r="F7" s="236"/>
      <c r="G7" s="236"/>
      <c r="H7" s="236"/>
      <c r="I7" s="236"/>
      <c r="J7" s="237"/>
    </row>
    <row r="8" spans="1:45">
      <c r="B8" s="233" t="s">
        <v>116</v>
      </c>
      <c r="C8" s="234"/>
      <c r="D8" s="235" t="str">
        <f>エンティティ一覧!AE2&amp;"_"&amp;D5&amp;"_mt_old_new_iyakuhin"</f>
        <v>sgioy_202310_backup_mt_old_new_iyakuhin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4.799999999999997">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4.799999999999997">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4.799999999999997">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5.4"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ENT_01_A3-05</v>
      </c>
      <c r="E6" s="244"/>
      <c r="F6" s="244"/>
      <c r="G6" s="244"/>
      <c r="H6" s="244"/>
      <c r="I6" s="244"/>
      <c r="J6" s="245"/>
    </row>
    <row r="7" spans="1:45">
      <c r="B7" s="233" t="s">
        <v>115</v>
      </c>
      <c r="C7" s="234"/>
      <c r="D7" s="235" t="s">
        <v>1929</v>
      </c>
      <c r="E7" s="236"/>
      <c r="F7" s="236"/>
      <c r="G7" s="236"/>
      <c r="H7" s="236"/>
      <c r="I7" s="236"/>
      <c r="J7" s="237"/>
    </row>
    <row r="8" spans="1:45">
      <c r="B8" s="233" t="s">
        <v>116</v>
      </c>
      <c r="C8" s="234"/>
      <c r="D8" s="235" t="str">
        <f>エンティティ一覧!AE2&amp;"_"&amp;D5&amp;"_mt_dpc6_icd"</f>
        <v>sgioy_202310_backup_mt_dpc6_icd</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2.2">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6.6">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4.799999999999997">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4.799999999999997">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4.799999999999997">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4.799999999999997">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2.2">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2.2">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2.8"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ENT_01_A3-06</v>
      </c>
      <c r="E6" s="244"/>
      <c r="F6" s="244"/>
      <c r="G6" s="244"/>
      <c r="H6" s="244"/>
      <c r="I6" s="244"/>
      <c r="J6" s="245"/>
    </row>
    <row r="7" spans="1:45">
      <c r="B7" s="233" t="s">
        <v>115</v>
      </c>
      <c r="C7" s="234"/>
      <c r="D7" s="235" t="s">
        <v>1947</v>
      </c>
      <c r="E7" s="236"/>
      <c r="F7" s="236"/>
      <c r="G7" s="236"/>
      <c r="H7" s="236"/>
      <c r="I7" s="236"/>
      <c r="J7" s="237"/>
    </row>
    <row r="8" spans="1:45">
      <c r="B8" s="233" t="s">
        <v>116</v>
      </c>
      <c r="C8" s="234"/>
      <c r="D8" s="235" t="str">
        <f>エンティティ一覧!AE2&amp;"_"&amp;D5&amp;"_mt_syusyokugo"</f>
        <v>sgioy_202310_backup_mt_syusyokugo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ht="30">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0">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8"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ENT_01_A3-07</v>
      </c>
      <c r="E6" s="244"/>
      <c r="F6" s="244"/>
      <c r="G6" s="244"/>
      <c r="H6" s="244"/>
      <c r="I6" s="244"/>
      <c r="J6" s="245"/>
    </row>
    <row r="7" spans="1:45">
      <c r="B7" s="233" t="s">
        <v>115</v>
      </c>
      <c r="C7" s="234"/>
      <c r="D7" s="235" t="s">
        <v>1984</v>
      </c>
      <c r="E7" s="236"/>
      <c r="F7" s="236"/>
      <c r="G7" s="236"/>
      <c r="H7" s="236"/>
      <c r="I7" s="236"/>
      <c r="J7" s="237"/>
    </row>
    <row r="8" spans="1:45">
      <c r="B8" s="233" t="s">
        <v>116</v>
      </c>
      <c r="C8" s="234"/>
      <c r="D8" s="235" t="str">
        <f>エンティティ一覧!AE2&amp;"_"&amp;D5&amp;"_mt_comment"</f>
        <v>sgioy_202310_backup_mt_comment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0">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2.2">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8"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ENT_01_A3-08</v>
      </c>
      <c r="E6" s="244"/>
      <c r="F6" s="244"/>
      <c r="G6" s="244"/>
      <c r="H6" s="244"/>
      <c r="I6" s="244"/>
      <c r="J6" s="245"/>
    </row>
    <row r="7" spans="1:45">
      <c r="B7" s="233" t="s">
        <v>115</v>
      </c>
      <c r="C7" s="234"/>
      <c r="D7" s="235" t="s">
        <v>2031</v>
      </c>
      <c r="E7" s="236"/>
      <c r="F7" s="236"/>
      <c r="G7" s="236"/>
      <c r="H7" s="236"/>
      <c r="I7" s="236"/>
      <c r="J7" s="237"/>
    </row>
    <row r="8" spans="1:45">
      <c r="B8" s="233" t="s">
        <v>116</v>
      </c>
      <c r="C8" s="234"/>
      <c r="D8" s="235" t="str">
        <f>エンティティ一覧!AE2&amp;"_"&amp;D5&amp;"_mt_seibunryo"</f>
        <v>sgioy_202310_backup_mt_seibunryo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4.799999999999997">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5"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ENT_01_A3-09</v>
      </c>
      <c r="E6" s="244"/>
      <c r="F6" s="244"/>
      <c r="G6" s="244"/>
      <c r="H6" s="244"/>
      <c r="I6" s="244"/>
      <c r="J6" s="245"/>
    </row>
    <row r="7" spans="1:45">
      <c r="B7" s="233" t="s">
        <v>115</v>
      </c>
      <c r="C7" s="234"/>
      <c r="D7" s="235" t="s">
        <v>2056</v>
      </c>
      <c r="E7" s="236"/>
      <c r="F7" s="236"/>
      <c r="G7" s="236"/>
      <c r="H7" s="236"/>
      <c r="I7" s="236"/>
      <c r="J7" s="237"/>
    </row>
    <row r="8" spans="1:45">
      <c r="B8" s="233" t="s">
        <v>116</v>
      </c>
      <c r="C8" s="234"/>
      <c r="D8" s="235" t="str">
        <f>エンティティ一覧!AE2&amp;"_"&amp;D5&amp;"_mt_seibun_name"</f>
        <v>sgioy_202310_backup_mt_seibun_name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4.799999999999997">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4.799999999999997">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5"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2.2">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ENT_01_A3-10</v>
      </c>
      <c r="E6" s="244"/>
      <c r="F6" s="244"/>
      <c r="G6" s="244"/>
      <c r="H6" s="244"/>
      <c r="I6" s="244"/>
      <c r="J6" s="245"/>
    </row>
    <row r="7" spans="1:45">
      <c r="B7" s="233" t="s">
        <v>115</v>
      </c>
      <c r="C7" s="234"/>
      <c r="D7" s="235" t="s">
        <v>2077</v>
      </c>
      <c r="E7" s="236"/>
      <c r="F7" s="236"/>
      <c r="G7" s="236"/>
      <c r="H7" s="236"/>
      <c r="I7" s="236"/>
      <c r="J7" s="237"/>
    </row>
    <row r="8" spans="1:45">
      <c r="B8" s="233" t="s">
        <v>116</v>
      </c>
      <c r="C8" s="234"/>
      <c r="D8" s="235" t="str">
        <f>エンティティ一覧!AE2&amp;"_"&amp;D5&amp;"_mt_unit"</f>
        <v>sgioy_202310_backup_mt_unit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単位マスタ取込用テーブルから組入れ条件の第一条件で絞り込んだ結果を格納するテーブル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2.2">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ENT_01_A3-11</v>
      </c>
      <c r="E6" s="244"/>
      <c r="F6" s="244"/>
      <c r="G6" s="244"/>
      <c r="H6" s="244"/>
      <c r="I6" s="244"/>
      <c r="J6" s="245"/>
    </row>
    <row r="7" spans="1:45">
      <c r="B7" s="233" t="s">
        <v>115</v>
      </c>
      <c r="C7" s="234"/>
      <c r="D7" s="235" t="s">
        <v>2084</v>
      </c>
      <c r="E7" s="236"/>
      <c r="F7" s="236"/>
      <c r="G7" s="236"/>
      <c r="H7" s="236"/>
      <c r="I7" s="236"/>
      <c r="J7" s="237"/>
    </row>
    <row r="8" spans="1:45">
      <c r="B8" s="233" t="s">
        <v>116</v>
      </c>
      <c r="C8" s="234"/>
      <c r="D8" s="235" t="str">
        <f>エンティティ一覧!AE2&amp;"_"&amp;D5&amp;"_mt_tekiyou_recept_combi_link"</f>
        <v>sgioy_202310_backup_mt_tekiyou_recept_combi_link</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4.799999999999997">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4.799999999999997">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4.799999999999997">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ENT_01_A3-12</v>
      </c>
      <c r="E6" s="244"/>
      <c r="F6" s="244"/>
      <c r="G6" s="244"/>
      <c r="H6" s="244"/>
      <c r="I6" s="244"/>
      <c r="J6" s="245"/>
    </row>
    <row r="7" spans="1:45">
      <c r="B7" s="233" t="s">
        <v>115</v>
      </c>
      <c r="C7" s="234"/>
      <c r="D7" s="235" t="s">
        <v>2103</v>
      </c>
      <c r="E7" s="236"/>
      <c r="F7" s="236"/>
      <c r="G7" s="236"/>
      <c r="H7" s="236"/>
      <c r="I7" s="236"/>
      <c r="J7" s="237"/>
    </row>
    <row r="8" spans="1:45">
      <c r="B8" s="233" t="s">
        <v>116</v>
      </c>
      <c r="C8" s="234"/>
      <c r="D8" s="235" t="str">
        <f>エンティティ一覧!AE2&amp;"_"&amp;D5&amp;"_mt_tekiyou_recept_combi_link_oyako"</f>
        <v>sgioy_202310_backup_mt_tekiyou_recept_combi_link_oyako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2.2">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ENT_01_A3-13</v>
      </c>
      <c r="E6" s="244"/>
      <c r="F6" s="244"/>
      <c r="G6" s="244"/>
      <c r="H6" s="244"/>
      <c r="I6" s="244"/>
      <c r="J6" s="245"/>
    </row>
    <row r="7" spans="1:45">
      <c r="B7" s="233" t="s">
        <v>115</v>
      </c>
      <c r="C7" s="234"/>
      <c r="D7" s="235" t="s">
        <v>2104</v>
      </c>
      <c r="E7" s="236"/>
      <c r="F7" s="236"/>
      <c r="G7" s="236"/>
      <c r="H7" s="236"/>
      <c r="I7" s="236"/>
      <c r="J7" s="237"/>
    </row>
    <row r="8" spans="1:45">
      <c r="B8" s="233" t="s">
        <v>116</v>
      </c>
      <c r="C8" s="234"/>
      <c r="D8" s="235" t="str">
        <f>エンティティ一覧!AE2&amp;"_"&amp;D5&amp;"_mt_tekiyou_byoumei"</f>
        <v>sgioy_202310_backup_mt_tekiyou_byoumei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ENT_01_A3-14</v>
      </c>
      <c r="E6" s="244"/>
      <c r="F6" s="244"/>
      <c r="G6" s="244"/>
      <c r="H6" s="244"/>
      <c r="I6" s="244"/>
      <c r="J6" s="245"/>
    </row>
    <row r="7" spans="1:45">
      <c r="B7" s="233" t="s">
        <v>115</v>
      </c>
      <c r="C7" s="234"/>
      <c r="D7" s="235" t="s">
        <v>2113</v>
      </c>
      <c r="E7" s="236"/>
      <c r="F7" s="236"/>
      <c r="G7" s="236"/>
      <c r="H7" s="236"/>
      <c r="I7" s="236"/>
      <c r="J7" s="237"/>
    </row>
    <row r="8" spans="1:45">
      <c r="B8" s="233" t="s">
        <v>116</v>
      </c>
      <c r="C8" s="234"/>
      <c r="D8" s="235" t="str">
        <f>エンティティ一覧!AE2&amp;"_"&amp;D5&amp;"_mt_yjcode_receptdensancode_link"</f>
        <v>sgioy_202310_backup_mt_yjcode_receptdensancode_link</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Z185"/>
  <sheetViews>
    <sheetView showGridLines="0" topLeftCell="A121" zoomScale="85" zoomScaleNormal="85" workbookViewId="0">
      <selection activeCell="D136" sqref="D136"/>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ENT_01_A3-15</v>
      </c>
      <c r="E6" s="244"/>
      <c r="F6" s="244"/>
      <c r="G6" s="244"/>
      <c r="H6" s="244"/>
      <c r="I6" s="244"/>
      <c r="J6" s="245"/>
    </row>
    <row r="7" spans="1:45">
      <c r="B7" s="233" t="s">
        <v>115</v>
      </c>
      <c r="C7" s="234"/>
      <c r="D7" s="235" t="s">
        <v>2123</v>
      </c>
      <c r="E7" s="236"/>
      <c r="F7" s="236"/>
      <c r="G7" s="236"/>
      <c r="H7" s="236"/>
      <c r="I7" s="236"/>
      <c r="J7" s="237"/>
    </row>
    <row r="8" spans="1:45">
      <c r="B8" s="233" t="s">
        <v>116</v>
      </c>
      <c r="C8" s="234"/>
      <c r="D8" s="235" t="str">
        <f>エンティティ一覧!AE2&amp;"_"&amp;D5&amp;"_mt_shinryo_koi_fuka"</f>
        <v>sgioy_202310_backup_mt_shinryo_koi_fuka</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69.599999999999994">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4.799999999999997">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4.799999999999997">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4.799999999999997">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2.2">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ENT_01_A3-16</v>
      </c>
      <c r="E6" s="244"/>
      <c r="F6" s="244"/>
      <c r="G6" s="244"/>
      <c r="H6" s="244"/>
      <c r="I6" s="244"/>
      <c r="J6" s="245"/>
    </row>
    <row r="7" spans="1:45">
      <c r="B7" s="233" t="s">
        <v>115</v>
      </c>
      <c r="C7" s="234"/>
      <c r="D7" s="235" t="s">
        <v>2404</v>
      </c>
      <c r="E7" s="236"/>
      <c r="F7" s="236"/>
      <c r="G7" s="236"/>
      <c r="H7" s="236"/>
      <c r="I7" s="236"/>
      <c r="J7" s="237"/>
    </row>
    <row r="8" spans="1:45">
      <c r="B8" s="233" t="s">
        <v>116</v>
      </c>
      <c r="C8" s="234"/>
      <c r="D8" s="235" t="str">
        <f>エンティティ一覧!AE2&amp;"_"&amp;D5&amp;"_mt_shori_shisetsu"</f>
        <v>sgioy_202310_backup_mt_shori_shisetsu</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4.799999999999997">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4.799999999999997">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69.599999999999994">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52.2">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5.4"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ENT_01_A3-17</v>
      </c>
      <c r="E6" s="244"/>
      <c r="F6" s="244"/>
      <c r="G6" s="244"/>
      <c r="H6" s="244"/>
      <c r="I6" s="244"/>
      <c r="J6" s="245"/>
    </row>
    <row r="7" spans="1:45">
      <c r="B7" s="233" t="s">
        <v>115</v>
      </c>
      <c r="C7" s="234"/>
      <c r="D7" s="235" t="s">
        <v>2433</v>
      </c>
      <c r="E7" s="236"/>
      <c r="F7" s="236"/>
      <c r="G7" s="236"/>
      <c r="H7" s="236"/>
      <c r="I7" s="236"/>
      <c r="J7" s="237"/>
    </row>
    <row r="8" spans="1:45">
      <c r="B8" s="233" t="s">
        <v>116</v>
      </c>
      <c r="C8" s="234"/>
      <c r="D8" s="235" t="str">
        <f>エンティティ一覧!AE2&amp;"_"&amp;D5&amp;"_mt_shori_shisetsu_manage"</f>
        <v>sgioy_202310_backup_mt_shori_shisetsu_manage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4.799999999999997">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69.599999999999994">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52.2">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5.4"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ENT_01_A3-18</v>
      </c>
      <c r="E6" s="244"/>
      <c r="F6" s="244"/>
      <c r="G6" s="244"/>
      <c r="H6" s="244"/>
      <c r="I6" s="244"/>
      <c r="J6" s="245"/>
    </row>
    <row r="7" spans="1:45">
      <c r="B7" s="233" t="s">
        <v>115</v>
      </c>
      <c r="C7" s="234"/>
      <c r="D7" s="235" t="s">
        <v>3292</v>
      </c>
      <c r="E7" s="236"/>
      <c r="F7" s="236"/>
      <c r="G7" s="236"/>
      <c r="H7" s="236"/>
      <c r="I7" s="236"/>
      <c r="J7" s="237"/>
    </row>
    <row r="8" spans="1:45">
      <c r="B8" s="233" t="s">
        <v>116</v>
      </c>
      <c r="C8" s="234"/>
      <c r="D8" s="235" t="str">
        <f>エンティティ一覧!AE2&amp;"_"&amp;D5&amp;"_mt_iyakuhin"</f>
        <v>sgioy_202310_backup_mt_iyakuhin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0">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8"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ENT_01_A3-19</v>
      </c>
      <c r="E6" s="244"/>
      <c r="F6" s="244"/>
      <c r="G6" s="244"/>
      <c r="H6" s="244"/>
      <c r="I6" s="244"/>
      <c r="J6" s="245"/>
    </row>
    <row r="7" spans="1:45">
      <c r="B7" s="233" t="s">
        <v>115</v>
      </c>
      <c r="C7" s="234"/>
      <c r="D7" s="235" t="s">
        <v>3324</v>
      </c>
      <c r="E7" s="236"/>
      <c r="F7" s="236"/>
      <c r="G7" s="236"/>
      <c r="H7" s="236"/>
      <c r="I7" s="236"/>
      <c r="J7" s="237"/>
    </row>
    <row r="8" spans="1:45">
      <c r="B8" s="233" t="s">
        <v>116</v>
      </c>
      <c r="C8" s="234"/>
      <c r="D8" s="235" t="str">
        <f>エンティティ一覧!AE2&amp;"_"&amp;D5&amp;"_mt_iyakuhin_brand"</f>
        <v>sgioy_202310_backup_mt_iyakuhin_brand</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ht="30">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ENT_01_A3-20</v>
      </c>
      <c r="E6" s="244"/>
      <c r="F6" s="244"/>
      <c r="G6" s="244"/>
      <c r="H6" s="244"/>
      <c r="I6" s="244"/>
      <c r="J6" s="245"/>
    </row>
    <row r="7" spans="1:45">
      <c r="B7" s="233" t="s">
        <v>115</v>
      </c>
      <c r="C7" s="234"/>
      <c r="D7" s="235" t="s">
        <v>3327</v>
      </c>
      <c r="E7" s="236"/>
      <c r="F7" s="236"/>
      <c r="G7" s="236"/>
      <c r="H7" s="236"/>
      <c r="I7" s="236"/>
      <c r="J7" s="237"/>
    </row>
    <row r="8" spans="1:45">
      <c r="B8" s="233" t="s">
        <v>116</v>
      </c>
      <c r="C8" s="234"/>
      <c r="D8" s="235" t="str">
        <f>エンティティ一覧!AE2&amp;"_"&amp;D5&amp;"_mt_iyakuhin_ippan_name"</f>
        <v>sgioy_202310_backup_mt_iyakuhin_ippan_name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0">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0">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ENT_01_A3-21</v>
      </c>
      <c r="E6" s="244"/>
      <c r="F6" s="244"/>
      <c r="G6" s="244"/>
      <c r="H6" s="244"/>
      <c r="I6" s="244"/>
      <c r="J6" s="245"/>
    </row>
    <row r="7" spans="1:45">
      <c r="B7" s="233" t="s">
        <v>115</v>
      </c>
      <c r="C7" s="234"/>
      <c r="D7" s="235" t="s">
        <v>3329</v>
      </c>
      <c r="E7" s="236"/>
      <c r="F7" s="236"/>
      <c r="G7" s="236"/>
      <c r="H7" s="236"/>
      <c r="I7" s="236"/>
      <c r="J7" s="237"/>
    </row>
    <row r="8" spans="1:45">
      <c r="B8" s="233" t="s">
        <v>116</v>
      </c>
      <c r="C8" s="234"/>
      <c r="D8" s="235" t="str">
        <f>エンティティ一覧!AE2&amp;"_"&amp;D5&amp;"_mt_iyakuhin_sales_kaisha"</f>
        <v>sgioy_202310_backup_mt_iyakuhin_sales_kaisha</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ENT_01_A3-22</v>
      </c>
      <c r="E6" s="244"/>
      <c r="F6" s="244"/>
      <c r="G6" s="244"/>
      <c r="H6" s="244"/>
      <c r="I6" s="244"/>
      <c r="J6" s="245"/>
    </row>
    <row r="7" spans="1:45">
      <c r="B7" s="233" t="s">
        <v>115</v>
      </c>
      <c r="C7" s="234"/>
      <c r="D7" s="235" t="s">
        <v>3249</v>
      </c>
      <c r="E7" s="236"/>
      <c r="F7" s="236"/>
      <c r="G7" s="236"/>
      <c r="H7" s="236"/>
      <c r="I7" s="236"/>
      <c r="J7" s="237"/>
    </row>
    <row r="8" spans="1:45">
      <c r="B8" s="233" t="s">
        <v>116</v>
      </c>
      <c r="C8" s="234"/>
      <c r="D8" s="235" t="str">
        <f>エンティティ一覧!AE2&amp;"_"&amp;D5&amp;"_mt_maker"</f>
        <v>sgioy_202310_backup_mt_maker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メーカマスタテーブルから組入れ条件の第一条件で絞り込んだ結果を格納するテーブル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ENT_01_A3-23</v>
      </c>
      <c r="E6" s="244"/>
      <c r="F6" s="244"/>
      <c r="G6" s="244"/>
      <c r="H6" s="244"/>
      <c r="I6" s="244"/>
      <c r="J6" s="245"/>
    </row>
    <row r="7" spans="1:45">
      <c r="B7" s="233" t="s">
        <v>115</v>
      </c>
      <c r="C7" s="234"/>
      <c r="D7" s="235" t="s">
        <v>3334</v>
      </c>
      <c r="E7" s="236"/>
      <c r="F7" s="236"/>
      <c r="G7" s="236"/>
      <c r="H7" s="236"/>
      <c r="I7" s="236"/>
      <c r="J7" s="237"/>
    </row>
    <row r="8" spans="1:45">
      <c r="B8" s="233" t="s">
        <v>116</v>
      </c>
      <c r="C8" s="234"/>
      <c r="D8" s="235" t="str">
        <f>エンティティ一覧!AE2&amp;"_"&amp;D5&amp;"_mt_price"</f>
        <v>sgioy_202310_backup_mt_price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薬価マスタテーブルから組入れ条件の第一条件で絞り込んだ結果を格納するテーブル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4.799999999999997">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ENT_01_A3-24</v>
      </c>
      <c r="E6" s="244"/>
      <c r="F6" s="244"/>
      <c r="G6" s="244"/>
      <c r="H6" s="244"/>
      <c r="I6" s="244"/>
      <c r="J6" s="245"/>
    </row>
    <row r="7" spans="1:45">
      <c r="B7" s="233" t="s">
        <v>115</v>
      </c>
      <c r="C7" s="234"/>
      <c r="D7" s="235" t="s">
        <v>3251</v>
      </c>
      <c r="E7" s="236"/>
      <c r="F7" s="236"/>
      <c r="G7" s="236"/>
      <c r="H7" s="236"/>
      <c r="I7" s="236"/>
      <c r="J7" s="237"/>
    </row>
    <row r="8" spans="1:45">
      <c r="B8" s="233" t="s">
        <v>116</v>
      </c>
      <c r="C8" s="234"/>
      <c r="D8" s="235" t="str">
        <f>エンティティ一覧!AE2&amp;"_"&amp;D5&amp;"_mt_yakko_atc1"</f>
        <v>sgioy_202310_backup_mt_yakko_atc1</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薬効ATC分類1マスタテーブルから組入れ条件の第一条件で絞り込んだ結果を格納するテーブル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ht="30">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ENT_01_A3-25</v>
      </c>
      <c r="E6" s="244"/>
      <c r="F6" s="244"/>
      <c r="G6" s="244"/>
      <c r="H6" s="244"/>
      <c r="I6" s="244"/>
      <c r="J6" s="245"/>
    </row>
    <row r="7" spans="1:45">
      <c r="B7" s="233" t="s">
        <v>115</v>
      </c>
      <c r="C7" s="234"/>
      <c r="D7" s="235" t="s">
        <v>3340</v>
      </c>
      <c r="E7" s="236"/>
      <c r="F7" s="236"/>
      <c r="G7" s="236"/>
      <c r="H7" s="236"/>
      <c r="I7" s="236"/>
      <c r="J7" s="237"/>
    </row>
    <row r="8" spans="1:45">
      <c r="B8" s="233" t="s">
        <v>116</v>
      </c>
      <c r="C8" s="234"/>
      <c r="D8" s="235" t="str">
        <f>エンティティ一覧!AE2&amp;"_"&amp;D5&amp;"_mt_yakko_atc2"</f>
        <v>sgioy_202310_backup_mt_yakko_atc2</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薬効ATC分類2マスタテーブルから組入れ条件の第一条件で絞り込んだ結果を格納するテーブル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ht="30">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ENT_01_A3-26</v>
      </c>
      <c r="E6" s="244"/>
      <c r="F6" s="244"/>
      <c r="G6" s="244"/>
      <c r="H6" s="244"/>
      <c r="I6" s="244"/>
      <c r="J6" s="245"/>
    </row>
    <row r="7" spans="1:45">
      <c r="B7" s="233" t="s">
        <v>115</v>
      </c>
      <c r="C7" s="234"/>
      <c r="D7" s="235" t="s">
        <v>3343</v>
      </c>
      <c r="E7" s="236"/>
      <c r="F7" s="236"/>
      <c r="G7" s="236"/>
      <c r="H7" s="236"/>
      <c r="I7" s="236"/>
      <c r="J7" s="237"/>
    </row>
    <row r="8" spans="1:45">
      <c r="B8" s="233" t="s">
        <v>116</v>
      </c>
      <c r="C8" s="234"/>
      <c r="D8" s="235" t="str">
        <f>エンティティ一覧!AE2&amp;"_"&amp;D5&amp;"_mt_yakko_atc3"</f>
        <v>sgioy_202310_backup_mt_yakko_atc3</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薬効ATC分類3マスタテーブルから組入れ条件の第一条件で絞り込んだ結果を格納するテーブル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ht="30">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ENT_01_A3-27</v>
      </c>
      <c r="E6" s="244"/>
      <c r="F6" s="244"/>
      <c r="G6" s="244"/>
      <c r="H6" s="244"/>
      <c r="I6" s="244"/>
      <c r="J6" s="245"/>
    </row>
    <row r="7" spans="1:45">
      <c r="B7" s="233" t="s">
        <v>115</v>
      </c>
      <c r="C7" s="234"/>
      <c r="D7" s="235" t="s">
        <v>3346</v>
      </c>
      <c r="E7" s="236"/>
      <c r="F7" s="236"/>
      <c r="G7" s="236"/>
      <c r="H7" s="236"/>
      <c r="I7" s="236"/>
      <c r="J7" s="237"/>
    </row>
    <row r="8" spans="1:45">
      <c r="B8" s="233" t="s">
        <v>116</v>
      </c>
      <c r="C8" s="234"/>
      <c r="D8" s="235" t="str">
        <f>エンティティ一覧!AE2&amp;"_"&amp;D5&amp;"_mt_yakko_atc4"</f>
        <v>sgioy_202310_backup_mt_yakko_atc4</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薬効ATC分類4マスタテーブルから組入れ条件の第一条件で絞り込んだ結果を格納するテーブル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ht="30">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ENT_01_A3-28</v>
      </c>
      <c r="E6" s="244"/>
      <c r="F6" s="244"/>
      <c r="G6" s="244"/>
      <c r="H6" s="244"/>
      <c r="I6" s="244"/>
      <c r="J6" s="245"/>
    </row>
    <row r="7" spans="1:45">
      <c r="B7" s="233" t="s">
        <v>115</v>
      </c>
      <c r="C7" s="234"/>
      <c r="D7" s="235" t="s">
        <v>3349</v>
      </c>
      <c r="E7" s="236"/>
      <c r="F7" s="236"/>
      <c r="G7" s="236"/>
      <c r="H7" s="236"/>
      <c r="I7" s="236"/>
      <c r="J7" s="237"/>
    </row>
    <row r="8" spans="1:45">
      <c r="B8" s="233" t="s">
        <v>116</v>
      </c>
      <c r="C8" s="234"/>
      <c r="D8" s="235" t="str">
        <f>エンティティ一覧!AE2&amp;"_"&amp;D5&amp;"_mt_yakko_atc5"</f>
        <v>sgioy_202310_backup_mt_yakko_atc5</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薬効ATC分類5マスタテーブルから組入れ条件の第一条件で絞り込んだ結果を格納するテーブル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ht="30">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8"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ENT_01_A3-29</v>
      </c>
      <c r="E6" s="244"/>
      <c r="F6" s="244"/>
      <c r="G6" s="244"/>
      <c r="H6" s="244"/>
      <c r="I6" s="244"/>
      <c r="J6" s="245"/>
    </row>
    <row r="7" spans="1:45">
      <c r="B7" s="233" t="s">
        <v>115</v>
      </c>
      <c r="C7" s="234"/>
      <c r="D7" s="235" t="s">
        <v>3352</v>
      </c>
      <c r="E7" s="236"/>
      <c r="F7" s="236"/>
      <c r="G7" s="236"/>
      <c r="H7" s="236"/>
      <c r="I7" s="236"/>
      <c r="J7" s="237"/>
    </row>
    <row r="8" spans="1:45">
      <c r="B8" s="233" t="s">
        <v>116</v>
      </c>
      <c r="C8" s="234"/>
      <c r="D8" s="235" t="str">
        <f>エンティティ一覧!AE2&amp;"_"&amp;D5&amp;"_mt_shippei"</f>
        <v>sgioy_202310_backup_mt_shippei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疾病マスタテーブルから組入れ条件の第一条件で絞り込んだ結果を格納するテーブル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8"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ENT_01_A3-30</v>
      </c>
      <c r="E6" s="244"/>
      <c r="F6" s="244"/>
      <c r="G6" s="244"/>
      <c r="H6" s="244"/>
      <c r="I6" s="244"/>
      <c r="J6" s="245"/>
    </row>
    <row r="7" spans="1:45">
      <c r="B7" s="233" t="s">
        <v>115</v>
      </c>
      <c r="C7" s="234"/>
      <c r="D7" s="235" t="s">
        <v>3257</v>
      </c>
      <c r="E7" s="236"/>
      <c r="F7" s="236"/>
      <c r="G7" s="236"/>
      <c r="H7" s="236"/>
      <c r="I7" s="236"/>
      <c r="J7" s="237"/>
    </row>
    <row r="8" spans="1:45">
      <c r="B8" s="233" t="s">
        <v>116</v>
      </c>
      <c r="C8" s="234"/>
      <c r="D8" s="235" t="str">
        <f>エンティティ一覧!AE2&amp;"_"&amp;D5&amp;"_mt_icd10_l"</f>
        <v>sgioy_202310_backup_mt_icd10_l</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ICD10大分類マスタテーブルから組入れ条件の第一条件で絞り込んだ結果を格納するテーブル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ENT_01_A3-31</v>
      </c>
      <c r="E6" s="244"/>
      <c r="F6" s="244"/>
      <c r="G6" s="244"/>
      <c r="H6" s="244"/>
      <c r="I6" s="244"/>
      <c r="J6" s="245"/>
    </row>
    <row r="7" spans="1:45">
      <c r="B7" s="233" t="s">
        <v>115</v>
      </c>
      <c r="C7" s="234"/>
      <c r="D7" s="235" t="s">
        <v>3258</v>
      </c>
      <c r="E7" s="236"/>
      <c r="F7" s="236"/>
      <c r="G7" s="236"/>
      <c r="H7" s="236"/>
      <c r="I7" s="236"/>
      <c r="J7" s="237"/>
    </row>
    <row r="8" spans="1:45">
      <c r="B8" s="233" t="s">
        <v>116</v>
      </c>
      <c r="C8" s="234"/>
      <c r="D8" s="235" t="str">
        <f>エンティティ一覧!AE2&amp;"_"&amp;D5&amp;"_mt_icd10_m"</f>
        <v>sgioy_202310_backup_mt_icd10_m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ICD10中分類マスタテーブルから組入れ条件の第一条件で絞り込んだ結果を格納するテーブル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ENT_01_A3-32</v>
      </c>
      <c r="E6" s="244"/>
      <c r="F6" s="244"/>
      <c r="G6" s="244"/>
      <c r="H6" s="244"/>
      <c r="I6" s="244"/>
      <c r="J6" s="245"/>
    </row>
    <row r="7" spans="1:45">
      <c r="B7" s="233" t="s">
        <v>115</v>
      </c>
      <c r="C7" s="234"/>
      <c r="D7" s="235" t="s">
        <v>3259</v>
      </c>
      <c r="E7" s="236"/>
      <c r="F7" s="236"/>
      <c r="G7" s="236"/>
      <c r="H7" s="236"/>
      <c r="I7" s="236"/>
      <c r="J7" s="237"/>
    </row>
    <row r="8" spans="1:45">
      <c r="B8" s="233" t="s">
        <v>116</v>
      </c>
      <c r="C8" s="234"/>
      <c r="D8" s="235" t="str">
        <f>エンティティ一覧!AE2&amp;"_"&amp;D5&amp;"_mt_icd10_s"</f>
        <v>sgioy_202310_backup_mt_icd10_s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ICD10小分類マスタテーブルから組入れ条件の第一条件で絞り込んだ結果を格納するテーブル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ENT_01_A3-33</v>
      </c>
      <c r="E6" s="244"/>
      <c r="F6" s="244"/>
      <c r="G6" s="244"/>
      <c r="H6" s="244"/>
      <c r="I6" s="244"/>
      <c r="J6" s="245"/>
    </row>
    <row r="7" spans="1:45">
      <c r="B7" s="233" t="s">
        <v>115</v>
      </c>
      <c r="C7" s="234"/>
      <c r="D7" s="235" t="s">
        <v>3260</v>
      </c>
      <c r="E7" s="236"/>
      <c r="F7" s="236"/>
      <c r="G7" s="236"/>
      <c r="H7" s="236"/>
      <c r="I7" s="236"/>
      <c r="J7" s="237"/>
    </row>
    <row r="8" spans="1:45">
      <c r="B8" s="233" t="s">
        <v>116</v>
      </c>
      <c r="C8" s="234"/>
      <c r="D8" s="235" t="str">
        <f>エンティティ一覧!AE2&amp;"_"&amp;D5&amp;"_mt_icd10_ss"</f>
        <v>sgioy_202310_backup_mt_icd10_ss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ICD10細分類マスタテーブルから組入れ条件の第一条件で絞り込んだ結果を格納するテーブル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ENT_01_A3-34</v>
      </c>
      <c r="E6" s="244"/>
      <c r="F6" s="244"/>
      <c r="G6" s="244"/>
      <c r="H6" s="244"/>
      <c r="I6" s="244"/>
      <c r="J6" s="245"/>
    </row>
    <row r="7" spans="1:45">
      <c r="B7" s="233" t="s">
        <v>115</v>
      </c>
      <c r="C7" s="234"/>
      <c r="D7" s="235" t="s">
        <v>3261</v>
      </c>
      <c r="E7" s="236"/>
      <c r="F7" s="236"/>
      <c r="G7" s="236"/>
      <c r="H7" s="236"/>
      <c r="I7" s="236"/>
      <c r="J7" s="237"/>
    </row>
    <row r="8" spans="1:45">
      <c r="B8" s="233" t="s">
        <v>116</v>
      </c>
      <c r="C8" s="234"/>
      <c r="D8" s="235" t="str">
        <f>エンティティ一覧!AE2&amp;"_"&amp;D5&amp;"_mt_dpc2"</f>
        <v>sgioy_202310_backup_mt_dpc2</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DPC2桁マスタテーブルから組入れ条件の第一条件で絞り込んだ結果を格納するテーブル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ENT_01_A3-35</v>
      </c>
      <c r="E6" s="244"/>
      <c r="F6" s="244"/>
      <c r="G6" s="244"/>
      <c r="H6" s="244"/>
      <c r="I6" s="244"/>
      <c r="J6" s="245"/>
    </row>
    <row r="7" spans="1:45">
      <c r="B7" s="233" t="s">
        <v>115</v>
      </c>
      <c r="C7" s="234"/>
      <c r="D7" s="235" t="s">
        <v>3379</v>
      </c>
      <c r="E7" s="236"/>
      <c r="F7" s="236"/>
      <c r="G7" s="236"/>
      <c r="H7" s="236"/>
      <c r="I7" s="236"/>
      <c r="J7" s="237"/>
    </row>
    <row r="8" spans="1:45">
      <c r="B8" s="233" t="s">
        <v>116</v>
      </c>
      <c r="C8" s="234"/>
      <c r="D8" s="235" t="str">
        <f>エンティティ一覧!AE2&amp;"_"&amp;D5&amp;"_mt_dpc6"</f>
        <v>sgioy_202310_backup_mt_dpc6</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DPC6桁マスタテーブルから組入れ条件の第一条件で絞り込んだ結果を格納するテーブル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ENT_01_A3-36</v>
      </c>
      <c r="E6" s="244"/>
      <c r="F6" s="244"/>
      <c r="G6" s="244"/>
      <c r="H6" s="244"/>
      <c r="I6" s="244"/>
      <c r="J6" s="245"/>
    </row>
    <row r="7" spans="1:45">
      <c r="B7" s="233" t="s">
        <v>115</v>
      </c>
      <c r="C7" s="234"/>
      <c r="D7" s="235" t="s">
        <v>3382</v>
      </c>
      <c r="E7" s="236"/>
      <c r="F7" s="236"/>
      <c r="G7" s="236"/>
      <c r="H7" s="236"/>
      <c r="I7" s="236"/>
      <c r="J7" s="237"/>
    </row>
    <row r="8" spans="1:45">
      <c r="B8" s="233" t="s">
        <v>116</v>
      </c>
      <c r="C8" s="234"/>
      <c r="D8" s="235" t="str">
        <f>エンティティ一覧!AE2&amp;"_"&amp;D5&amp;"_mt_postal"</f>
        <v>sgioy_202310_backup_mt_postal</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郵便番号マスタテーブルから組入れ条件の第一条件で絞り込んだ結果を格納するテーブル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4.799999999999997">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8"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ENT_01_A3-37</v>
      </c>
      <c r="E6" s="244"/>
      <c r="F6" s="244"/>
      <c r="G6" s="244"/>
      <c r="H6" s="244"/>
      <c r="I6" s="244"/>
      <c r="J6" s="245"/>
    </row>
    <row r="7" spans="1:45">
      <c r="B7" s="233" t="s">
        <v>115</v>
      </c>
      <c r="C7" s="234"/>
      <c r="D7" s="235" t="s">
        <v>3404</v>
      </c>
      <c r="E7" s="236"/>
      <c r="F7" s="236"/>
      <c r="G7" s="236"/>
      <c r="H7" s="236"/>
      <c r="I7" s="236"/>
      <c r="J7" s="237"/>
    </row>
    <row r="8" spans="1:45">
      <c r="B8" s="233" t="s">
        <v>116</v>
      </c>
      <c r="C8" s="234"/>
      <c r="D8" s="235" t="str">
        <f>エンティティ一覧!AE2&amp;"_"&amp;D5&amp;"_mt_tokutei_kizai"</f>
        <v>sgioy_202310_backup_mt_tokutei_kizai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特定機材マスタテーブルから組入れ条件の第一条件で絞り込んだ結果を格納するテーブル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4.799999999999997">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8"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ENT_01_A4-01</v>
      </c>
      <c r="E6" s="244"/>
      <c r="F6" s="244"/>
      <c r="G6" s="244"/>
      <c r="H6" s="244"/>
      <c r="I6" s="244"/>
      <c r="J6" s="245"/>
    </row>
    <row r="7" spans="1:45">
      <c r="B7" s="233" t="s">
        <v>115</v>
      </c>
      <c r="C7" s="234"/>
      <c r="D7" s="235" t="s">
        <v>2434</v>
      </c>
      <c r="E7" s="236"/>
      <c r="F7" s="236"/>
      <c r="G7" s="236"/>
      <c r="H7" s="236"/>
      <c r="I7" s="236"/>
      <c r="J7" s="237"/>
    </row>
    <row r="8" spans="1:45">
      <c r="B8" s="233" t="s">
        <v>116</v>
      </c>
      <c r="C8" s="234"/>
      <c r="D8" s="235" t="str">
        <f>エンティティ一覧!AE2&amp;"_"&amp;D5&amp;"_mt2_nendo"</f>
        <v>sgioy_202310_backup_mt2_nendo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年度マスタテーブルから組入れ条件の第一条件で絞り込んだ結果を格納するテーブル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52.2">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52.2">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8"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ENT_01_A4-02</v>
      </c>
      <c r="E6" s="244"/>
      <c r="F6" s="244"/>
      <c r="G6" s="244"/>
      <c r="H6" s="244"/>
      <c r="I6" s="244"/>
      <c r="J6" s="245"/>
    </row>
    <row r="7" spans="1:45">
      <c r="B7" s="233" t="s">
        <v>115</v>
      </c>
      <c r="C7" s="234"/>
      <c r="D7" s="235" t="s">
        <v>2458</v>
      </c>
      <c r="E7" s="236"/>
      <c r="F7" s="236"/>
      <c r="G7" s="236"/>
      <c r="H7" s="236"/>
      <c r="I7" s="236"/>
      <c r="J7" s="237"/>
    </row>
    <row r="8" spans="1:45">
      <c r="B8" s="233" t="s">
        <v>116</v>
      </c>
      <c r="C8" s="234"/>
      <c r="D8" s="235" t="str">
        <f>エンティティ一覧!AE2&amp;"_"&amp;D5&amp;"_mt2_prefecture_region"</f>
        <v>sgioy_202310_backup_mt2_prefecture_region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8"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49" t="s">
        <v>2469</v>
      </c>
      <c r="F21" s="250"/>
      <c r="G21" s="250"/>
      <c r="H21" s="250"/>
      <c r="I21" s="250"/>
      <c r="J21" s="251"/>
    </row>
    <row r="22" spans="2:52">
      <c r="B22" s="80"/>
      <c r="C22" s="82" t="s">
        <v>2470</v>
      </c>
      <c r="D22" s="82" t="s">
        <v>2471</v>
      </c>
      <c r="E22" s="246" t="s">
        <v>2472</v>
      </c>
      <c r="F22" s="247"/>
      <c r="G22" s="247"/>
      <c r="H22" s="247"/>
      <c r="I22" s="247"/>
      <c r="J22" s="248"/>
    </row>
    <row r="23" spans="2:52">
      <c r="B23" s="80"/>
      <c r="C23" s="82" t="s">
        <v>2473</v>
      </c>
      <c r="D23" s="82" t="s">
        <v>2474</v>
      </c>
      <c r="E23" s="246" t="s">
        <v>2475</v>
      </c>
      <c r="F23" s="247"/>
      <c r="G23" s="247"/>
      <c r="H23" s="247"/>
      <c r="I23" s="247"/>
      <c r="J23" s="248"/>
    </row>
    <row r="24" spans="2:52">
      <c r="B24" s="80"/>
      <c r="C24" s="82" t="s">
        <v>2476</v>
      </c>
      <c r="D24" s="82" t="s">
        <v>2477</v>
      </c>
      <c r="E24" s="246" t="s">
        <v>2478</v>
      </c>
      <c r="F24" s="247"/>
      <c r="G24" s="247"/>
      <c r="H24" s="247"/>
      <c r="I24" s="247"/>
      <c r="J24" s="248"/>
    </row>
    <row r="25" spans="2:52">
      <c r="B25" s="80"/>
      <c r="C25" s="82" t="s">
        <v>2479</v>
      </c>
      <c r="D25" s="82" t="s">
        <v>2480</v>
      </c>
      <c r="E25" s="246" t="s">
        <v>2481</v>
      </c>
      <c r="F25" s="247"/>
      <c r="G25" s="247"/>
      <c r="H25" s="247"/>
      <c r="I25" s="247"/>
      <c r="J25" s="248"/>
    </row>
    <row r="26" spans="2:52">
      <c r="B26" s="80"/>
      <c r="C26" s="82" t="s">
        <v>2482</v>
      </c>
      <c r="D26" s="82" t="s">
        <v>2483</v>
      </c>
      <c r="E26" s="246" t="s">
        <v>2484</v>
      </c>
      <c r="F26" s="247"/>
      <c r="G26" s="247"/>
      <c r="H26" s="247"/>
      <c r="I26" s="247"/>
      <c r="J26" s="248"/>
    </row>
    <row r="27" spans="2:52">
      <c r="B27" s="80"/>
      <c r="C27" s="82" t="s">
        <v>2485</v>
      </c>
      <c r="D27" s="82" t="s">
        <v>2486</v>
      </c>
      <c r="E27" s="246" t="s">
        <v>2487</v>
      </c>
      <c r="F27" s="247"/>
      <c r="G27" s="247"/>
      <c r="H27" s="247"/>
      <c r="I27" s="247"/>
      <c r="J27" s="248"/>
    </row>
    <row r="28" spans="2:52">
      <c r="B28" s="80"/>
      <c r="C28" s="82" t="s">
        <v>2488</v>
      </c>
      <c r="D28" s="82" t="s">
        <v>2489</v>
      </c>
      <c r="E28" s="246" t="s">
        <v>2490</v>
      </c>
      <c r="F28" s="247"/>
      <c r="G28" s="247"/>
      <c r="H28" s="247"/>
      <c r="I28" s="247"/>
      <c r="J28" s="248"/>
    </row>
    <row r="29" spans="2:52">
      <c r="B29" s="80"/>
      <c r="C29" s="82" t="s">
        <v>2491</v>
      </c>
      <c r="D29" s="82" t="s">
        <v>2492</v>
      </c>
      <c r="E29" s="246" t="s">
        <v>2493</v>
      </c>
      <c r="F29" s="247"/>
      <c r="G29" s="247"/>
      <c r="H29" s="247"/>
      <c r="I29" s="247"/>
      <c r="J29" s="248"/>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ENT_01_A4-03</v>
      </c>
      <c r="E6" s="244"/>
      <c r="F6" s="244"/>
      <c r="G6" s="244"/>
      <c r="H6" s="244"/>
      <c r="I6" s="244"/>
      <c r="J6" s="245"/>
    </row>
    <row r="7" spans="1:45">
      <c r="B7" s="233" t="s">
        <v>115</v>
      </c>
      <c r="C7" s="234"/>
      <c r="D7" s="235" t="s">
        <v>2494</v>
      </c>
      <c r="E7" s="236"/>
      <c r="F7" s="236"/>
      <c r="G7" s="236"/>
      <c r="H7" s="236"/>
      <c r="I7" s="236"/>
      <c r="J7" s="237"/>
    </row>
    <row r="8" spans="1:45">
      <c r="B8" s="233" t="s">
        <v>116</v>
      </c>
      <c r="C8" s="234"/>
      <c r="D8" s="235" t="str">
        <f>エンティティ一覧!AE2&amp;"_"&amp;D5&amp;"_mt2_shisetsu_zokusei"</f>
        <v>sgioy_202310_backup_mt2_shisetsu_zokusei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施設属性マスタテーブルから組入れ条件の第一条件で絞り込んだ結果を格納するテーブル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4.799999999999997">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21.8">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ht="34.799999999999997">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ht="34.799999999999997">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4.799999999999997">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2.2">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2.2">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2.2">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57.19999999999999"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ENT_01_A4-04</v>
      </c>
      <c r="E6" s="244"/>
      <c r="F6" s="244"/>
      <c r="G6" s="244"/>
      <c r="H6" s="244"/>
      <c r="I6" s="244"/>
      <c r="J6" s="245"/>
    </row>
    <row r="7" spans="1:45">
      <c r="B7" s="233" t="s">
        <v>115</v>
      </c>
      <c r="C7" s="234"/>
      <c r="D7" s="235" t="s">
        <v>2537</v>
      </c>
      <c r="E7" s="236"/>
      <c r="F7" s="236"/>
      <c r="G7" s="236"/>
      <c r="H7" s="236"/>
      <c r="I7" s="236"/>
      <c r="J7" s="237"/>
    </row>
    <row r="8" spans="1:45">
      <c r="B8" s="233" t="s">
        <v>116</v>
      </c>
      <c r="C8" s="234"/>
      <c r="D8" s="235" t="str">
        <f>エンティティ一覧!AE2&amp;"_"&amp;D5&amp;"_mt2_iryouken2"</f>
        <v>sgioy_202310_backup_mt2_iryouken2</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二次医療圏マスタテーブルから組入れ条件の第一条件で絞り込んだ結果を格納するテーブル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69.599999999999994">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69.599999999999994">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69.599999999999994">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69.599999999999994">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4.799999999999997">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5.4"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01</v>
      </c>
      <c r="E4" s="220"/>
      <c r="F4" s="220"/>
      <c r="G4" s="220"/>
      <c r="H4" s="220"/>
      <c r="I4" s="220"/>
      <c r="J4" s="221"/>
    </row>
    <row r="5" spans="1:52">
      <c r="B5" s="233" t="s">
        <v>3719</v>
      </c>
      <c r="C5" s="234"/>
      <c r="D5" s="243" t="str">
        <f>VLOOKUP(D7,エンティティ一覧!A1:'エンティティ一覧'!AM10179,7,FALSE)</f>
        <v>backup</v>
      </c>
      <c r="E5" s="244"/>
      <c r="F5" s="244"/>
      <c r="G5" s="244"/>
      <c r="H5" s="244"/>
      <c r="I5" s="244"/>
      <c r="J5" s="245"/>
    </row>
    <row r="6" spans="1:52">
      <c r="B6" s="233" t="s">
        <v>3720</v>
      </c>
      <c r="C6" s="234"/>
      <c r="D6" s="243" t="str">
        <f>VLOOKUP(D7,エンティティ一覧!A1:'エンティティ一覧'!AM10179,15,FALSE)</f>
        <v>ENT_01_A4-05</v>
      </c>
      <c r="E6" s="244"/>
      <c r="F6" s="244"/>
      <c r="G6" s="244"/>
      <c r="H6" s="244"/>
      <c r="I6" s="244"/>
      <c r="J6" s="245"/>
    </row>
    <row r="7" spans="1:52">
      <c r="B7" s="233" t="s">
        <v>115</v>
      </c>
      <c r="C7" s="234"/>
      <c r="D7" s="235" t="s">
        <v>2542</v>
      </c>
      <c r="E7" s="236"/>
      <c r="F7" s="236"/>
      <c r="G7" s="236"/>
      <c r="H7" s="236"/>
      <c r="I7" s="236"/>
      <c r="J7" s="237"/>
    </row>
    <row r="8" spans="1:52">
      <c r="B8" s="233" t="s">
        <v>116</v>
      </c>
      <c r="C8" s="234"/>
      <c r="D8" s="235" t="str">
        <f>エンティティ一覧!AE2&amp;"_"&amp;D5&amp;"_mt2_old_new_shisetsu"</f>
        <v>sgioy_202310_backup_mt2_old_new_shisetsu</v>
      </c>
      <c r="E8" s="236"/>
      <c r="F8" s="236"/>
      <c r="G8" s="236"/>
      <c r="H8" s="236"/>
      <c r="I8" s="236"/>
      <c r="J8" s="237"/>
    </row>
    <row r="9" spans="1:52" ht="19.5" customHeight="1" thickBot="1">
      <c r="B9" s="238" t="s">
        <v>117</v>
      </c>
      <c r="C9" s="239"/>
      <c r="D9" s="240" t="str">
        <f>SUBSTITUTE(D7,"バックアップ_","")&amp;"テーブルから組入れ条件の第一条件で絞り込んだ結果を格納するテーブル"</f>
        <v>施設ID対応マスタテーブルから組入れ条件の第一条件で絞り込んだ結果を格納するテーブル</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8"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ENT_01_A4-07</v>
      </c>
      <c r="E6" s="244"/>
      <c r="F6" s="244"/>
      <c r="G6" s="244"/>
      <c r="H6" s="244"/>
      <c r="I6" s="244"/>
      <c r="J6" s="245"/>
    </row>
    <row r="7" spans="1:45">
      <c r="B7" s="233" t="s">
        <v>115</v>
      </c>
      <c r="C7" s="234"/>
      <c r="D7" s="235" t="s">
        <v>2550</v>
      </c>
      <c r="E7" s="236"/>
      <c r="F7" s="236"/>
      <c r="G7" s="236"/>
      <c r="H7" s="236"/>
      <c r="I7" s="236"/>
      <c r="J7" s="237"/>
    </row>
    <row r="8" spans="1:45">
      <c r="B8" s="233" t="s">
        <v>116</v>
      </c>
      <c r="C8" s="234"/>
      <c r="D8" s="235" t="str">
        <f>エンティティ一覧!AE2&amp;"_"&amp;D5&amp;"_mt2_iyakuhin_kanren"</f>
        <v>sgioy_202310_backup_mt2_iyakuhin_kanren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ht="30">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ht="30">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ht="30">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ht="30">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ht="30">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ht="30">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ht="30">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52.2">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4.799999999999997">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52.2">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52.8"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ENT_01_A4-08</v>
      </c>
      <c r="E6" s="244"/>
      <c r="F6" s="244"/>
      <c r="G6" s="244"/>
      <c r="H6" s="244"/>
      <c r="I6" s="244"/>
      <c r="J6" s="245"/>
    </row>
    <row r="7" spans="1:45">
      <c r="B7" s="233" t="s">
        <v>115</v>
      </c>
      <c r="C7" s="234"/>
      <c r="D7" s="235" t="s">
        <v>2606</v>
      </c>
      <c r="E7" s="236"/>
      <c r="F7" s="236"/>
      <c r="G7" s="236"/>
      <c r="H7" s="236"/>
      <c r="I7" s="236"/>
      <c r="J7" s="237"/>
    </row>
    <row r="8" spans="1:45">
      <c r="B8" s="233" t="s">
        <v>116</v>
      </c>
      <c r="C8" s="234"/>
      <c r="D8" s="235" t="str">
        <f>エンティティ一覧!AE2&amp;"_"&amp;D5&amp;"_mt2_price_kanren"</f>
        <v>sgioy_202310_backup_mt2_price_kanren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薬価関連マスタテーブルから組入れ条件の第一条件で絞り込んだ結果を格納するテーブル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52.2">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4.799999999999997">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5.4"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ENT_01_A4-09</v>
      </c>
      <c r="E6" s="244"/>
      <c r="F6" s="244"/>
      <c r="G6" s="244"/>
      <c r="H6" s="244"/>
      <c r="I6" s="244"/>
      <c r="J6" s="245"/>
    </row>
    <row r="7" spans="1:45">
      <c r="B7" s="233" t="s">
        <v>115</v>
      </c>
      <c r="C7" s="234"/>
      <c r="D7" s="235" t="s">
        <v>2613</v>
      </c>
      <c r="E7" s="236"/>
      <c r="F7" s="236"/>
      <c r="G7" s="236"/>
      <c r="H7" s="236"/>
      <c r="I7" s="236"/>
      <c r="J7" s="237"/>
    </row>
    <row r="8" spans="1:45">
      <c r="B8" s="233" t="s">
        <v>116</v>
      </c>
      <c r="C8" s="234"/>
      <c r="D8" s="235" t="str">
        <f>エンティティ一覧!AE2&amp;"_"&amp;D5&amp;"_mt2_shinryo_koi_kanren"</f>
        <v>sgioy_202310_backup_mt2_shinryo_koi_kanren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2.2">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4.799999999999997">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4.799999999999997">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4.799999999999997">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5.4"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ENT_01_A4-10</v>
      </c>
      <c r="E6" s="244"/>
      <c r="F6" s="244"/>
      <c r="G6" s="244"/>
      <c r="H6" s="244"/>
      <c r="I6" s="244"/>
      <c r="J6" s="245"/>
    </row>
    <row r="7" spans="1:45">
      <c r="B7" s="233" t="s">
        <v>115</v>
      </c>
      <c r="C7" s="234"/>
      <c r="D7" s="235" t="s">
        <v>2633</v>
      </c>
      <c r="E7" s="236"/>
      <c r="F7" s="236"/>
      <c r="G7" s="236"/>
      <c r="H7" s="236"/>
      <c r="I7" s="236"/>
      <c r="J7" s="237"/>
    </row>
    <row r="8" spans="1:45">
      <c r="B8" s="233" t="s">
        <v>116</v>
      </c>
      <c r="C8" s="234"/>
      <c r="D8" s="235" t="str">
        <f>エンティティ一覧!AE2&amp;"_"&amp;D5&amp;"_mt2_tokutei_kizai_kanren"</f>
        <v>sgioy_202310_backup_mt2_tokutei_kizai_kanren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2.2">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4.799999999999997">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70.2"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ENT_01_A4-11</v>
      </c>
      <c r="E6" s="244"/>
      <c r="F6" s="244"/>
      <c r="G6" s="244"/>
      <c r="H6" s="244"/>
      <c r="I6" s="244"/>
      <c r="J6" s="245"/>
    </row>
    <row r="7" spans="1:45">
      <c r="B7" s="233" t="s">
        <v>115</v>
      </c>
      <c r="C7" s="234"/>
      <c r="D7" s="235" t="s">
        <v>2645</v>
      </c>
      <c r="E7" s="236"/>
      <c r="F7" s="236"/>
      <c r="G7" s="236"/>
      <c r="H7" s="236"/>
      <c r="I7" s="236"/>
      <c r="J7" s="237"/>
    </row>
    <row r="8" spans="1:45">
      <c r="B8" s="233" t="s">
        <v>116</v>
      </c>
      <c r="C8" s="234"/>
      <c r="D8" s="235" t="str">
        <f>エンティティ一覧!AE2&amp;"_"&amp;D5&amp;"_mt2_dpc_kanren"</f>
        <v>sgioy_202310_backup_mt2_dpc_kanren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4.799999999999997">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4.799999999999997">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5.4"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ENT_01_A4-12</v>
      </c>
      <c r="E6" s="244"/>
      <c r="F6" s="244"/>
      <c r="G6" s="244"/>
      <c r="H6" s="244"/>
      <c r="I6" s="244"/>
      <c r="J6" s="245"/>
    </row>
    <row r="7" spans="1:45">
      <c r="B7" s="233" t="s">
        <v>115</v>
      </c>
      <c r="C7" s="234"/>
      <c r="D7" s="235" t="s">
        <v>2654</v>
      </c>
      <c r="E7" s="236"/>
      <c r="F7" s="236"/>
      <c r="G7" s="236"/>
      <c r="H7" s="236"/>
      <c r="I7" s="236"/>
      <c r="J7" s="237"/>
    </row>
    <row r="8" spans="1:45">
      <c r="B8" s="233" t="s">
        <v>116</v>
      </c>
      <c r="C8" s="234"/>
      <c r="D8" s="235" t="str">
        <f>エンティティ一覧!AE2&amp;"_"&amp;D5&amp;"_mt2_shikkan_kanren"</f>
        <v>sgioy_202310_backup_mt2_shikkan_kanren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疾患関連マスタテーブルから組入れ条件の第一条件で絞り込んだ結果を格納するテーブル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2.2">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4.799999999999997">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2.2">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4.799999999999997">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5.4"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ENT_01_A4-13</v>
      </c>
      <c r="E6" s="244"/>
      <c r="F6" s="244"/>
      <c r="G6" s="244"/>
      <c r="H6" s="244"/>
      <c r="I6" s="244"/>
      <c r="J6" s="245"/>
    </row>
    <row r="7" spans="1:45">
      <c r="B7" s="233" t="s">
        <v>115</v>
      </c>
      <c r="C7" s="234"/>
      <c r="D7" s="235" t="s">
        <v>2683</v>
      </c>
      <c r="E7" s="236"/>
      <c r="F7" s="236"/>
      <c r="G7" s="236"/>
      <c r="H7" s="236"/>
      <c r="I7" s="236"/>
      <c r="J7" s="237"/>
    </row>
    <row r="8" spans="1:45">
      <c r="B8" s="233" t="s">
        <v>116</v>
      </c>
      <c r="C8" s="234"/>
      <c r="D8" s="235" t="str">
        <f>エンティティ一覧!AE2&amp;"_"&amp;D5&amp;"_mt2_iyakuhin_seibun_kanren"</f>
        <v>sgioy_202310_backup_mt2_iyakuhin_seibun_kanren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4.799999999999997">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2.2">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4.799999999999997">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4.799999999999997">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2.2">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2.2">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21.8">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0.2"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ENT_01_A4-14</v>
      </c>
      <c r="E6" s="244"/>
      <c r="F6" s="244"/>
      <c r="G6" s="244"/>
      <c r="H6" s="244"/>
      <c r="I6" s="244"/>
      <c r="J6" s="245"/>
    </row>
    <row r="7" spans="1:45">
      <c r="B7" s="233" t="s">
        <v>115</v>
      </c>
      <c r="C7" s="234"/>
      <c r="D7" s="235" t="s">
        <v>2704</v>
      </c>
      <c r="E7" s="236"/>
      <c r="F7" s="236"/>
      <c r="G7" s="236"/>
      <c r="H7" s="236"/>
      <c r="I7" s="236"/>
      <c r="J7" s="237"/>
    </row>
    <row r="8" spans="1:45">
      <c r="B8" s="233" t="s">
        <v>116</v>
      </c>
      <c r="C8" s="234"/>
      <c r="D8" s="235" t="str">
        <f>エンティティ一覧!AE2&amp;"_"&amp;D5&amp;"_mt2_iyakuhin_tekiyou_byomei_kanren"</f>
        <v>sgioy_202310_backup_mt2_iyakuhin_tekiyou_byomei_kanren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4.799999999999997">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4.799999999999997">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4.799999999999997">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4.799999999999997">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4.799999999999997">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69.599999999999994">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69.599999999999994">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4.799999999999997">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2.2">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69.599999999999994">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39.19999999999999">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87.6"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49" t="s">
        <v>2722</v>
      </c>
      <c r="E33" s="250"/>
      <c r="F33" s="250"/>
      <c r="G33" s="250"/>
      <c r="H33" s="251"/>
      <c r="I33" s="249" t="s">
        <v>2723</v>
      </c>
      <c r="J33" s="251"/>
    </row>
    <row r="34" spans="1:23" ht="18.75" customHeight="1">
      <c r="B34" s="80"/>
      <c r="C34" s="82" t="s">
        <v>2724</v>
      </c>
      <c r="D34" s="246" t="s">
        <v>2725</v>
      </c>
      <c r="E34" s="247"/>
      <c r="F34" s="247"/>
      <c r="G34" s="247"/>
      <c r="H34" s="248"/>
      <c r="I34" s="246" t="s">
        <v>2726</v>
      </c>
      <c r="J34" s="248"/>
    </row>
    <row r="35" spans="1:23" ht="18.75" customHeight="1">
      <c r="B35" s="80"/>
      <c r="C35" s="82" t="s">
        <v>2727</v>
      </c>
      <c r="D35" s="246" t="s">
        <v>2782</v>
      </c>
      <c r="E35" s="247"/>
      <c r="F35" s="247"/>
      <c r="G35" s="247"/>
      <c r="H35" s="248"/>
      <c r="I35" s="246" t="s">
        <v>2772</v>
      </c>
      <c r="J35" s="248"/>
    </row>
    <row r="36" spans="1:23" ht="18.75" customHeight="1">
      <c r="B36" s="80"/>
      <c r="C36" s="82" t="s">
        <v>2728</v>
      </c>
      <c r="D36" s="246" t="s">
        <v>2729</v>
      </c>
      <c r="E36" s="247"/>
      <c r="F36" s="247"/>
      <c r="G36" s="247"/>
      <c r="H36" s="248"/>
      <c r="I36" s="246" t="s">
        <v>2773</v>
      </c>
      <c r="J36" s="248"/>
    </row>
    <row r="37" spans="1:23" ht="18.75" customHeight="1">
      <c r="B37" s="80"/>
      <c r="C37" s="82" t="s">
        <v>2730</v>
      </c>
      <c r="D37" s="246" t="s">
        <v>2731</v>
      </c>
      <c r="E37" s="247"/>
      <c r="F37" s="247"/>
      <c r="G37" s="247"/>
      <c r="H37" s="248"/>
      <c r="I37" s="246" t="s">
        <v>2774</v>
      </c>
      <c r="J37" s="248"/>
    </row>
    <row r="38" spans="1:23" ht="18.75" customHeight="1">
      <c r="B38" s="80"/>
      <c r="C38" s="82" t="s">
        <v>2732</v>
      </c>
      <c r="D38" s="246" t="s">
        <v>2733</v>
      </c>
      <c r="E38" s="247"/>
      <c r="F38" s="247"/>
      <c r="G38" s="247"/>
      <c r="H38" s="248"/>
      <c r="I38" s="246" t="s">
        <v>2775</v>
      </c>
      <c r="J38" s="248"/>
    </row>
    <row r="39" spans="1:23" ht="18.75" customHeight="1">
      <c r="B39" s="80"/>
      <c r="C39" s="82" t="s">
        <v>2734</v>
      </c>
      <c r="D39" s="246" t="s">
        <v>2735</v>
      </c>
      <c r="E39" s="247"/>
      <c r="F39" s="247"/>
      <c r="G39" s="247"/>
      <c r="H39" s="248"/>
      <c r="I39" s="246" t="s">
        <v>2776</v>
      </c>
      <c r="J39" s="248"/>
    </row>
    <row r="40" spans="1:23" ht="18.75" customHeight="1">
      <c r="B40" s="80"/>
      <c r="C40" s="82" t="s">
        <v>2736</v>
      </c>
      <c r="D40" s="246" t="s">
        <v>2737</v>
      </c>
      <c r="E40" s="247"/>
      <c r="F40" s="247"/>
      <c r="G40" s="247"/>
      <c r="H40" s="248"/>
      <c r="I40" s="246" t="s">
        <v>2777</v>
      </c>
      <c r="J40" s="248"/>
    </row>
    <row r="41" spans="1:23" ht="18.75" customHeight="1">
      <c r="B41" s="80"/>
      <c r="C41" s="82" t="s">
        <v>2738</v>
      </c>
      <c r="D41" s="246" t="s">
        <v>2739</v>
      </c>
      <c r="E41" s="247"/>
      <c r="F41" s="247"/>
      <c r="G41" s="247"/>
      <c r="H41" s="248"/>
      <c r="I41" s="246" t="s">
        <v>2777</v>
      </c>
      <c r="J41" s="248"/>
    </row>
    <row r="42" spans="1:23" ht="18.75" customHeight="1">
      <c r="B42" s="80"/>
      <c r="C42" s="82" t="s">
        <v>2740</v>
      </c>
      <c r="D42" s="246" t="s">
        <v>2741</v>
      </c>
      <c r="E42" s="247"/>
      <c r="F42" s="247"/>
      <c r="G42" s="247"/>
      <c r="H42" s="248"/>
      <c r="I42" s="246" t="s">
        <v>2778</v>
      </c>
      <c r="J42" s="248"/>
    </row>
    <row r="43" spans="1:23" ht="18.75" customHeight="1">
      <c r="B43" s="80"/>
      <c r="C43" s="82" t="s">
        <v>2742</v>
      </c>
      <c r="D43" s="246" t="s">
        <v>2743</v>
      </c>
      <c r="E43" s="247"/>
      <c r="F43" s="247"/>
      <c r="G43" s="247"/>
      <c r="H43" s="248"/>
      <c r="I43" s="246" t="s">
        <v>2779</v>
      </c>
      <c r="J43" s="248"/>
    </row>
    <row r="44" spans="1:23" ht="18.75" customHeight="1">
      <c r="B44" s="80"/>
      <c r="C44" s="82" t="s">
        <v>2744</v>
      </c>
      <c r="D44" s="246" t="s">
        <v>2745</v>
      </c>
      <c r="E44" s="247"/>
      <c r="F44" s="247"/>
      <c r="G44" s="247"/>
      <c r="H44" s="248"/>
      <c r="I44" s="246" t="s">
        <v>2779</v>
      </c>
      <c r="J44" s="248"/>
    </row>
    <row r="45" spans="1:23" ht="18.75" customHeight="1">
      <c r="B45" s="80"/>
      <c r="C45" s="82" t="s">
        <v>2746</v>
      </c>
      <c r="D45" s="246" t="s">
        <v>2747</v>
      </c>
      <c r="E45" s="247"/>
      <c r="F45" s="247"/>
      <c r="G45" s="247"/>
      <c r="H45" s="248"/>
      <c r="I45" s="246" t="s">
        <v>2780</v>
      </c>
      <c r="J45" s="248"/>
    </row>
    <row r="46" spans="1:23" ht="18.75" customHeight="1">
      <c r="B46" s="80"/>
      <c r="C46" s="82" t="s">
        <v>2748</v>
      </c>
      <c r="D46" s="246" t="s">
        <v>2749</v>
      </c>
      <c r="E46" s="247"/>
      <c r="F46" s="247"/>
      <c r="G46" s="247"/>
      <c r="H46" s="248"/>
      <c r="I46" s="246" t="s">
        <v>2781</v>
      </c>
      <c r="J46" s="248"/>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53" t="s">
        <v>2722</v>
      </c>
      <c r="E49" s="253"/>
      <c r="F49" s="253"/>
      <c r="G49" s="253"/>
      <c r="H49" s="253"/>
      <c r="N49" s="4"/>
    </row>
    <row r="50" spans="1:52" s="25" customFormat="1">
      <c r="A50" s="4"/>
      <c r="B50" s="80"/>
      <c r="C50" s="85" t="s">
        <v>2752</v>
      </c>
      <c r="D50" s="252" t="s">
        <v>2753</v>
      </c>
      <c r="E50" s="252"/>
      <c r="F50" s="252"/>
      <c r="G50" s="252"/>
      <c r="H50" s="252"/>
      <c r="N50" s="4"/>
    </row>
    <row r="51" spans="1:52" s="25" customFormat="1">
      <c r="A51" s="4"/>
      <c r="B51" s="80"/>
      <c r="C51" s="85" t="s">
        <v>2754</v>
      </c>
      <c r="D51" s="252" t="s">
        <v>2755</v>
      </c>
      <c r="E51" s="252"/>
      <c r="F51" s="252"/>
      <c r="G51" s="252"/>
      <c r="H51" s="252"/>
      <c r="N51" s="4"/>
    </row>
    <row r="52" spans="1:52" s="25" customFormat="1">
      <c r="A52" s="4"/>
      <c r="B52" s="80"/>
      <c r="C52" s="85" t="s">
        <v>2756</v>
      </c>
      <c r="D52" s="252" t="s">
        <v>2757</v>
      </c>
      <c r="E52" s="252"/>
      <c r="F52" s="252"/>
      <c r="G52" s="252"/>
      <c r="H52" s="252"/>
      <c r="J52" s="25" t="s">
        <v>2758</v>
      </c>
      <c r="N52" s="4"/>
    </row>
    <row r="53" spans="1:52" s="25" customFormat="1">
      <c r="A53" s="4"/>
      <c r="B53" s="80"/>
      <c r="C53" s="85" t="s">
        <v>2759</v>
      </c>
      <c r="D53" s="252" t="s">
        <v>2760</v>
      </c>
      <c r="E53" s="252"/>
      <c r="F53" s="252"/>
      <c r="G53" s="252"/>
      <c r="H53" s="252"/>
      <c r="J53" s="25" t="s">
        <v>2761</v>
      </c>
      <c r="N53" s="4"/>
    </row>
    <row r="54" spans="1:52" s="25" customFormat="1" ht="18.75" customHeight="1">
      <c r="A54" s="4"/>
      <c r="B54" s="80"/>
      <c r="C54" s="85" t="s">
        <v>2762</v>
      </c>
      <c r="D54" s="252" t="s">
        <v>2763</v>
      </c>
      <c r="E54" s="252"/>
      <c r="F54" s="252"/>
      <c r="G54" s="252"/>
      <c r="H54" s="252"/>
      <c r="N54" s="4"/>
    </row>
    <row r="55" spans="1:52" s="25" customFormat="1">
      <c r="A55" s="4"/>
      <c r="B55" s="80"/>
      <c r="C55" s="82" t="s">
        <v>2748</v>
      </c>
      <c r="D55" s="252" t="s">
        <v>2764</v>
      </c>
      <c r="E55" s="252"/>
      <c r="F55" s="252"/>
      <c r="G55" s="252"/>
      <c r="H55" s="252"/>
      <c r="N55" s="4"/>
    </row>
    <row r="56" spans="1:52" s="25" customFormat="1">
      <c r="A56" s="4"/>
      <c r="M56" s="12"/>
      <c r="W56" s="4"/>
    </row>
    <row r="57" spans="1:52" s="25" customFormat="1">
      <c r="A57" s="4"/>
      <c r="C57" s="25" t="s">
        <v>2765</v>
      </c>
      <c r="M57" s="12"/>
      <c r="W57" s="4"/>
    </row>
    <row r="58" spans="1:52" s="25" customFormat="1">
      <c r="A58" s="4"/>
      <c r="C58" s="81" t="s">
        <v>2751</v>
      </c>
      <c r="D58" s="253" t="s">
        <v>2722</v>
      </c>
      <c r="E58" s="253"/>
      <c r="F58" s="253"/>
      <c r="G58" s="253"/>
      <c r="H58" s="253"/>
      <c r="M58" s="12"/>
      <c r="W58" s="4"/>
    </row>
    <row r="59" spans="1:52" s="25" customFormat="1">
      <c r="A59" s="4"/>
      <c r="C59" s="85" t="s">
        <v>2766</v>
      </c>
      <c r="D59" s="252" t="s">
        <v>2767</v>
      </c>
      <c r="E59" s="252"/>
      <c r="F59" s="252"/>
      <c r="G59" s="252"/>
      <c r="H59" s="252"/>
      <c r="M59" s="12"/>
      <c r="W59" s="4"/>
    </row>
    <row r="60" spans="1:52" s="25" customFormat="1">
      <c r="A60" s="4"/>
      <c r="C60" s="85" t="s">
        <v>2768</v>
      </c>
      <c r="D60" s="252" t="s">
        <v>2769</v>
      </c>
      <c r="E60" s="252"/>
      <c r="F60" s="252"/>
      <c r="G60" s="252"/>
      <c r="H60" s="252"/>
      <c r="M60" s="12"/>
      <c r="W60" s="4"/>
    </row>
    <row r="61" spans="1:52" s="25" customFormat="1">
      <c r="A61" s="4"/>
      <c r="C61" s="85" t="s">
        <v>2770</v>
      </c>
      <c r="D61" s="252" t="s">
        <v>2771</v>
      </c>
      <c r="E61" s="252"/>
      <c r="F61" s="252"/>
      <c r="G61" s="252"/>
      <c r="H61" s="252"/>
      <c r="M61" s="12"/>
      <c r="W61" s="4"/>
    </row>
    <row r="62" spans="1:52" s="25" customFormat="1">
      <c r="A62" s="4"/>
      <c r="C62" s="82" t="s">
        <v>2748</v>
      </c>
      <c r="D62" s="252" t="s">
        <v>2764</v>
      </c>
      <c r="E62" s="252"/>
      <c r="F62" s="252"/>
      <c r="G62" s="252"/>
      <c r="H62" s="252"/>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ENT_01_A6-02</v>
      </c>
      <c r="E6" s="244"/>
      <c r="F6" s="244"/>
      <c r="G6" s="244"/>
      <c r="H6" s="244"/>
      <c r="I6" s="244"/>
      <c r="J6" s="245"/>
    </row>
    <row r="7" spans="1:45">
      <c r="B7" s="233" t="s">
        <v>115</v>
      </c>
      <c r="C7" s="234"/>
      <c r="D7" s="235" t="s">
        <v>3191</v>
      </c>
      <c r="E7" s="236"/>
      <c r="F7" s="236"/>
      <c r="G7" s="236"/>
      <c r="H7" s="236"/>
      <c r="I7" s="236"/>
      <c r="J7" s="237"/>
    </row>
    <row r="8" spans="1:45">
      <c r="B8" s="233" t="s">
        <v>116</v>
      </c>
      <c r="C8" s="234"/>
      <c r="D8" s="235" t="str">
        <f>エンティティ一覧!AE2&amp;"_"&amp;D5&amp;"_text_mml_common"</f>
        <v>sgioy_202310_backup_text_mml_common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MML共通テーブルから組入れ条件の第一条件で絞り込んだ結果を格納するテーブル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ENT_01_A6-03</v>
      </c>
      <c r="E6" s="244"/>
      <c r="F6" s="244"/>
      <c r="G6" s="244"/>
      <c r="H6" s="244"/>
      <c r="I6" s="244"/>
      <c r="J6" s="245"/>
    </row>
    <row r="7" spans="1:45">
      <c r="B7" s="233" t="s">
        <v>115</v>
      </c>
      <c r="C7" s="234"/>
      <c r="D7" s="235" t="s">
        <v>2783</v>
      </c>
      <c r="E7" s="236"/>
      <c r="F7" s="236"/>
      <c r="G7" s="236"/>
      <c r="H7" s="236"/>
      <c r="I7" s="236"/>
      <c r="J7" s="237"/>
    </row>
    <row r="8" spans="1:45">
      <c r="B8" s="233" t="s">
        <v>116</v>
      </c>
      <c r="C8" s="234"/>
      <c r="D8" s="235" t="str">
        <f>エンティティ一覧!AE2&amp;"_"&amp;D5&amp;"_text_mml_mmlrd_body"</f>
        <v>sgioy_202310_backup_text_mml_mmlrd_body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Z27"/>
  <sheetViews>
    <sheetView showGridLines="0" zoomScale="85" zoomScaleNormal="85" workbookViewId="0">
      <selection activeCell="N10" sqref="N1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ENT_01_A6-04</v>
      </c>
      <c r="E6" s="244"/>
      <c r="F6" s="244"/>
      <c r="G6" s="244"/>
      <c r="H6" s="244"/>
      <c r="I6" s="244"/>
      <c r="J6" s="245"/>
    </row>
    <row r="7" spans="1:45">
      <c r="B7" s="233" t="s">
        <v>115</v>
      </c>
      <c r="C7" s="234"/>
      <c r="D7" s="235" t="s">
        <v>2799</v>
      </c>
      <c r="E7" s="236"/>
      <c r="F7" s="236"/>
      <c r="G7" s="236"/>
      <c r="H7" s="236"/>
      <c r="I7" s="236"/>
      <c r="J7" s="237"/>
    </row>
    <row r="8" spans="1:45">
      <c r="B8" s="233" t="s">
        <v>116</v>
      </c>
      <c r="C8" s="234"/>
      <c r="D8" s="235" t="str">
        <f>エンティティ一覧!AE2&amp;"_"&amp;D5&amp;"_text_mml_mmlrd_byomei"</f>
        <v>sgioy_202310_backup_text_mml_mmlrd_byomei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4.799999999999997">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ENT_01_A6-05</v>
      </c>
      <c r="E6" s="244"/>
      <c r="F6" s="244"/>
      <c r="G6" s="244"/>
      <c r="H6" s="244"/>
      <c r="I6" s="244"/>
      <c r="J6" s="245"/>
    </row>
    <row r="7" spans="1:45">
      <c r="B7" s="233" t="s">
        <v>115</v>
      </c>
      <c r="C7" s="234"/>
      <c r="D7" s="235" t="s">
        <v>2810</v>
      </c>
      <c r="E7" s="236"/>
      <c r="F7" s="236"/>
      <c r="G7" s="236"/>
      <c r="H7" s="236"/>
      <c r="I7" s="236"/>
      <c r="J7" s="237"/>
    </row>
    <row r="8" spans="1:45">
      <c r="B8" s="233" t="s">
        <v>116</v>
      </c>
      <c r="C8" s="234"/>
      <c r="D8" s="235" t="str">
        <f>エンティティ一覧!AE2&amp;"_"&amp;D5&amp;"_text_mml_mmlrd_category"</f>
        <v>sgioy_202310_backup_text_mml_mmlrd_category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ENT_01_A6-18</v>
      </c>
      <c r="E6" s="244"/>
      <c r="F6" s="244"/>
      <c r="G6" s="244"/>
      <c r="H6" s="244"/>
      <c r="I6" s="244"/>
      <c r="J6" s="245"/>
    </row>
    <row r="7" spans="1:45">
      <c r="B7" s="233" t="s">
        <v>115</v>
      </c>
      <c r="C7" s="234"/>
      <c r="D7" s="235" t="s">
        <v>3939</v>
      </c>
      <c r="E7" s="236"/>
      <c r="F7" s="236"/>
      <c r="G7" s="236"/>
      <c r="H7" s="236"/>
      <c r="I7" s="236"/>
      <c r="J7" s="237"/>
    </row>
    <row r="8" spans="1:45">
      <c r="B8" s="233" t="s">
        <v>116</v>
      </c>
      <c r="C8" s="234"/>
      <c r="D8" s="235" t="str">
        <f>エンティティ一覧!AE2&amp;"_"&amp;D5&amp;"_text_mml_mmllb_body"</f>
        <v>sgioy_202310_backup_text_mml_mmllb_body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3950</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3954</v>
      </c>
      <c r="E18" s="8"/>
      <c r="F18" s="7" t="s">
        <v>3887</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3887</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3955</v>
      </c>
      <c r="E20" s="8"/>
      <c r="F20" s="7" t="s">
        <v>3887</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3887</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3887</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3887</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3956</v>
      </c>
      <c r="E24" s="8"/>
      <c r="F24" s="7" t="s">
        <v>3887</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3957</v>
      </c>
      <c r="E25" s="8"/>
      <c r="F25" s="7" t="s">
        <v>3887</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3958</v>
      </c>
      <c r="E26" s="8"/>
      <c r="F26" s="7" t="s">
        <v>3887</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3959</v>
      </c>
      <c r="E27" s="8"/>
      <c r="F27" s="7" t="s">
        <v>3887</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3960</v>
      </c>
      <c r="E28" s="8"/>
      <c r="F28" s="7" t="s">
        <v>3887</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3961</v>
      </c>
      <c r="E29" s="8"/>
      <c r="F29" s="7" t="s">
        <v>3887</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3962</v>
      </c>
      <c r="E30" s="8"/>
      <c r="F30" s="7" t="s">
        <v>3887</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3963</v>
      </c>
      <c r="E31" s="8"/>
      <c r="F31" s="7" t="s">
        <v>3887</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3887</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3964</v>
      </c>
      <c r="E33" s="8"/>
      <c r="F33" s="7" t="s">
        <v>3887</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3887</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3887</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3887</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3965</v>
      </c>
      <c r="D37" s="6" t="s">
        <v>3966</v>
      </c>
      <c r="E37" s="8"/>
      <c r="F37" s="7" t="s">
        <v>3887</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3967</v>
      </c>
      <c r="D38" s="6" t="s">
        <v>3968</v>
      </c>
      <c r="E38" s="8"/>
      <c r="F38" s="7" t="s">
        <v>3887</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3969</v>
      </c>
      <c r="D39" s="6" t="s">
        <v>3970</v>
      </c>
      <c r="E39" s="8"/>
      <c r="F39" s="7" t="s">
        <v>3887</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3971</v>
      </c>
      <c r="D40" s="6" t="s">
        <v>3972</v>
      </c>
      <c r="E40" s="8"/>
      <c r="F40" s="7" t="s">
        <v>3887</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3973</v>
      </c>
      <c r="D41" s="6" t="s">
        <v>3974</v>
      </c>
      <c r="E41" s="8"/>
      <c r="F41" s="7" t="s">
        <v>3887</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0">
      <c r="A42" s="4"/>
      <c r="B42" s="21">
        <f t="shared" si="2"/>
        <v>30</v>
      </c>
      <c r="C42" s="6" t="s">
        <v>3975</v>
      </c>
      <c r="D42" s="6" t="s">
        <v>3976</v>
      </c>
      <c r="E42" s="8"/>
      <c r="F42" s="7" t="s">
        <v>3887</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3977</v>
      </c>
      <c r="D43" s="6" t="s">
        <v>3978</v>
      </c>
      <c r="E43" s="8"/>
      <c r="F43" s="7" t="s">
        <v>3887</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3979</v>
      </c>
      <c r="D44" s="6" t="s">
        <v>3980</v>
      </c>
      <c r="E44" s="8"/>
      <c r="F44" s="7" t="s">
        <v>3887</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3981</v>
      </c>
      <c r="D45" s="6" t="s">
        <v>3982</v>
      </c>
      <c r="E45" s="8"/>
      <c r="F45" s="7" t="s">
        <v>3887</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8" thickBot="1">
      <c r="A46" s="4"/>
      <c r="B46" s="27">
        <f>ROW()-12</f>
        <v>34</v>
      </c>
      <c r="C46" s="57" t="s">
        <v>1584</v>
      </c>
      <c r="D46" s="57" t="s">
        <v>3983</v>
      </c>
      <c r="E46" s="56"/>
      <c r="F46" s="56" t="s">
        <v>3887</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ENT_01_A6-19</v>
      </c>
      <c r="E6" s="244"/>
      <c r="F6" s="244"/>
      <c r="G6" s="244"/>
      <c r="H6" s="244"/>
      <c r="I6" s="244"/>
      <c r="J6" s="245"/>
    </row>
    <row r="7" spans="1:45">
      <c r="B7" s="233" t="s">
        <v>115</v>
      </c>
      <c r="C7" s="234"/>
      <c r="D7" s="235" t="s">
        <v>3941</v>
      </c>
      <c r="E7" s="236"/>
      <c r="F7" s="236"/>
      <c r="G7" s="236"/>
      <c r="H7" s="236"/>
      <c r="I7" s="236"/>
      <c r="J7" s="237"/>
    </row>
    <row r="8" spans="1:45">
      <c r="B8" s="233" t="s">
        <v>116</v>
      </c>
      <c r="C8" s="234"/>
      <c r="D8" s="235" t="str">
        <f>エンティティ一覧!AE2&amp;"_"&amp;D5&amp;"_text_mml_mmllb_memo"</f>
        <v>sgioy_202310_backup_text_mml_mmllb_memo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3950</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3984</v>
      </c>
      <c r="D18" s="6" t="s">
        <v>3985</v>
      </c>
      <c r="E18" s="8" t="s">
        <v>127</v>
      </c>
      <c r="F18" s="7" t="s">
        <v>3950</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3986</v>
      </c>
      <c r="D19" s="6" t="s">
        <v>3983</v>
      </c>
      <c r="E19" s="8"/>
      <c r="F19" s="7" t="s">
        <v>3887</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3987</v>
      </c>
      <c r="D20" s="6" t="s">
        <v>3988</v>
      </c>
      <c r="E20" s="8"/>
      <c r="F20" s="7" t="s">
        <v>3887</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3989</v>
      </c>
      <c r="D21" s="6" t="s">
        <v>3061</v>
      </c>
      <c r="E21" s="8"/>
      <c r="F21" s="7" t="s">
        <v>3887</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8" thickBot="1">
      <c r="A22" s="4"/>
      <c r="B22" s="27">
        <f>ROW()-12</f>
        <v>10</v>
      </c>
      <c r="C22" s="57" t="s">
        <v>3990</v>
      </c>
      <c r="D22" s="57" t="s">
        <v>3991</v>
      </c>
      <c r="E22" s="56"/>
      <c r="F22" s="56" t="s">
        <v>3887</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ENT_01_A6-20</v>
      </c>
      <c r="E6" s="244"/>
      <c r="F6" s="244"/>
      <c r="G6" s="244"/>
      <c r="H6" s="244"/>
      <c r="I6" s="244"/>
      <c r="J6" s="245"/>
    </row>
    <row r="7" spans="1:45">
      <c r="B7" s="233" t="s">
        <v>115</v>
      </c>
      <c r="C7" s="234"/>
      <c r="D7" s="235" t="s">
        <v>3943</v>
      </c>
      <c r="E7" s="236"/>
      <c r="F7" s="236"/>
      <c r="G7" s="236"/>
      <c r="H7" s="236"/>
      <c r="I7" s="236"/>
      <c r="J7" s="237"/>
    </row>
    <row r="8" spans="1:45">
      <c r="B8" s="233" t="s">
        <v>116</v>
      </c>
      <c r="C8" s="234"/>
      <c r="D8" s="235" t="str">
        <f>エンティティ一覧!AE2&amp;"_"&amp;D5&amp;"_text_mml_mmllb_labo_test"</f>
        <v>sgioy_202310_backup_text_mml_mmllb_labo_test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3950</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3887</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3887</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3994</v>
      </c>
      <c r="D21" s="6" t="s">
        <v>1615</v>
      </c>
      <c r="E21" s="8"/>
      <c r="F21" s="7" t="s">
        <v>3887</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8" thickBot="1">
      <c r="A22" s="4"/>
      <c r="B22" s="27">
        <f>ROW()-12</f>
        <v>10</v>
      </c>
      <c r="C22" s="57" t="s">
        <v>1616</v>
      </c>
      <c r="D22" s="57" t="s">
        <v>3995</v>
      </c>
      <c r="E22" s="56"/>
      <c r="F22" s="56" t="s">
        <v>3887</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ENT_01_A6-21</v>
      </c>
      <c r="E6" s="244"/>
      <c r="F6" s="244"/>
      <c r="G6" s="244"/>
      <c r="H6" s="244"/>
      <c r="I6" s="244"/>
      <c r="J6" s="245"/>
    </row>
    <row r="7" spans="1:45">
      <c r="B7" s="233" t="s">
        <v>115</v>
      </c>
      <c r="C7" s="234"/>
      <c r="D7" s="235" t="s">
        <v>3945</v>
      </c>
      <c r="E7" s="236"/>
      <c r="F7" s="236"/>
      <c r="G7" s="236"/>
      <c r="H7" s="236"/>
      <c r="I7" s="236"/>
      <c r="J7" s="237"/>
    </row>
    <row r="8" spans="1:45">
      <c r="B8" s="233" t="s">
        <v>116</v>
      </c>
      <c r="C8" s="234"/>
      <c r="D8" s="235" t="str">
        <f>エンティティ一覧!AE2&amp;"_"&amp;D5&amp;"_text_mml_mmllb_spc_memo"</f>
        <v>sgioy_202310_backup_text_mml_mmllb_spc_memo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3950</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3996</v>
      </c>
      <c r="D19" s="6" t="s">
        <v>3997</v>
      </c>
      <c r="E19" s="8" t="s">
        <v>127</v>
      </c>
      <c r="F19" s="7" t="s">
        <v>3950</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3998</v>
      </c>
      <c r="D20" s="6" t="s">
        <v>3999</v>
      </c>
      <c r="E20" s="8"/>
      <c r="F20" s="7" t="s">
        <v>3887</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4000</v>
      </c>
      <c r="D21" s="6" t="s">
        <v>4001</v>
      </c>
      <c r="E21" s="8"/>
      <c r="F21" s="7" t="s">
        <v>3887</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4002</v>
      </c>
      <c r="D22" s="6" t="s">
        <v>4003</v>
      </c>
      <c r="E22" s="8"/>
      <c r="F22" s="7" t="s">
        <v>3887</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8" thickBot="1">
      <c r="A23" s="4"/>
      <c r="B23" s="27">
        <f>ROW()-12</f>
        <v>11</v>
      </c>
      <c r="C23" s="57" t="s">
        <v>4004</v>
      </c>
      <c r="D23" s="57" t="s">
        <v>4005</v>
      </c>
      <c r="E23" s="56"/>
      <c r="F23" s="56" t="s">
        <v>3887</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ENT_01_A6-22</v>
      </c>
      <c r="E6" s="244"/>
      <c r="F6" s="244"/>
      <c r="G6" s="244"/>
      <c r="H6" s="244"/>
      <c r="I6" s="244"/>
      <c r="J6" s="245"/>
    </row>
    <row r="7" spans="1:45">
      <c r="B7" s="233" t="s">
        <v>115</v>
      </c>
      <c r="C7" s="234"/>
      <c r="D7" s="235" t="s">
        <v>3947</v>
      </c>
      <c r="E7" s="236"/>
      <c r="F7" s="236"/>
      <c r="G7" s="236"/>
      <c r="H7" s="236"/>
      <c r="I7" s="236"/>
      <c r="J7" s="237"/>
    </row>
    <row r="8" spans="1:45">
      <c r="B8" s="233" t="s">
        <v>116</v>
      </c>
      <c r="C8" s="234"/>
      <c r="D8" s="235" t="str">
        <f>エンティティ一覧!AE2&amp;"_"&amp;D5&amp;"_text_mml_mmllb_item"</f>
        <v>sgioy_202310_backup_text_mml_mmllb_item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3950</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4006</v>
      </c>
      <c r="D19" s="6" t="s">
        <v>4007</v>
      </c>
      <c r="E19" s="8" t="s">
        <v>127</v>
      </c>
      <c r="F19" s="7" t="s">
        <v>3950</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3888</v>
      </c>
      <c r="D20" s="6" t="s">
        <v>1628</v>
      </c>
      <c r="E20" s="8"/>
      <c r="F20" s="7" t="s">
        <v>3887</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3889</v>
      </c>
      <c r="D21" s="6" t="s">
        <v>3890</v>
      </c>
      <c r="E21" s="8"/>
      <c r="F21" s="7" t="s">
        <v>3887</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4008</v>
      </c>
      <c r="D22" s="6" t="s">
        <v>4009</v>
      </c>
      <c r="E22" s="8"/>
      <c r="F22" s="7" t="s">
        <v>3887</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4010</v>
      </c>
      <c r="D23" s="6" t="s">
        <v>4011</v>
      </c>
      <c r="E23" s="8"/>
      <c r="F23" s="7" t="s">
        <v>3887</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4012</v>
      </c>
      <c r="D24" s="6" t="s">
        <v>4013</v>
      </c>
      <c r="E24" s="8"/>
      <c r="F24" s="7" t="s">
        <v>3887</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4014</v>
      </c>
      <c r="D25" s="6" t="s">
        <v>4015</v>
      </c>
      <c r="E25" s="8"/>
      <c r="F25" s="7" t="s">
        <v>3887</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4016</v>
      </c>
      <c r="D26" s="6" t="s">
        <v>4017</v>
      </c>
      <c r="E26" s="8"/>
      <c r="F26" s="7" t="s">
        <v>3887</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4018</v>
      </c>
      <c r="D27" s="6" t="s">
        <v>4019</v>
      </c>
      <c r="E27" s="8"/>
      <c r="F27" s="7" t="s">
        <v>3887</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4020</v>
      </c>
      <c r="D28" s="6" t="s">
        <v>1644</v>
      </c>
      <c r="E28" s="8"/>
      <c r="F28" s="7" t="s">
        <v>3887</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4021</v>
      </c>
      <c r="D29" s="6" t="s">
        <v>4022</v>
      </c>
      <c r="E29" s="8"/>
      <c r="F29" s="7" t="s">
        <v>3887</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4023</v>
      </c>
      <c r="D30" s="6" t="s">
        <v>4024</v>
      </c>
      <c r="E30" s="8"/>
      <c r="F30" s="7" t="s">
        <v>3887</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4025</v>
      </c>
      <c r="D31" s="6" t="s">
        <v>4026</v>
      </c>
      <c r="E31" s="8"/>
      <c r="F31" s="7" t="s">
        <v>3887</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69.599999999999994">
      <c r="A32" s="4"/>
      <c r="B32" s="21">
        <f t="shared" si="2"/>
        <v>20</v>
      </c>
      <c r="C32" s="6" t="s">
        <v>4027</v>
      </c>
      <c r="D32" s="6" t="s">
        <v>4028</v>
      </c>
      <c r="E32" s="8"/>
      <c r="F32" s="7" t="s">
        <v>3887</v>
      </c>
      <c r="G32" s="7" t="str">
        <f t="shared" si="7"/>
        <v>text</v>
      </c>
      <c r="H32" s="26"/>
      <c r="I32" s="10"/>
      <c r="J32" s="11" t="s">
        <v>4029</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4030</v>
      </c>
      <c r="D33" s="6" t="s">
        <v>1646</v>
      </c>
      <c r="E33" s="8"/>
      <c r="F33" s="7" t="s">
        <v>3887</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4031</v>
      </c>
      <c r="D34" s="6" t="s">
        <v>4032</v>
      </c>
      <c r="E34" s="8"/>
      <c r="F34" s="7" t="s">
        <v>3887</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4033</v>
      </c>
      <c r="D35" s="6" t="s">
        <v>4034</v>
      </c>
      <c r="E35" s="8"/>
      <c r="F35" s="7" t="s">
        <v>3887</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4035</v>
      </c>
      <c r="D36" s="6" t="s">
        <v>4036</v>
      </c>
      <c r="E36" s="8"/>
      <c r="F36" s="7" t="s">
        <v>3887</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69.599999999999994">
      <c r="A37" s="4"/>
      <c r="B37" s="21">
        <f t="shared" si="2"/>
        <v>25</v>
      </c>
      <c r="C37" s="6" t="s">
        <v>4037</v>
      </c>
      <c r="D37" s="6" t="s">
        <v>4038</v>
      </c>
      <c r="E37" s="8"/>
      <c r="F37" s="7" t="s">
        <v>3887</v>
      </c>
      <c r="G37" s="7" t="str">
        <f t="shared" si="7"/>
        <v>text</v>
      </c>
      <c r="H37" s="26"/>
      <c r="I37" s="10"/>
      <c r="J37" s="11" t="s">
        <v>4029</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3887</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4039</v>
      </c>
      <c r="E39" s="8"/>
      <c r="F39" s="7" t="s">
        <v>3887</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4040</v>
      </c>
      <c r="E40" s="8"/>
      <c r="F40" s="7" t="s">
        <v>3887</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8" thickBot="1">
      <c r="A41" s="4"/>
      <c r="B41" s="27">
        <f>ROW()-12</f>
        <v>29</v>
      </c>
      <c r="C41" s="57" t="s">
        <v>1660</v>
      </c>
      <c r="D41" s="57" t="s">
        <v>4041</v>
      </c>
      <c r="E41" s="56"/>
      <c r="F41" s="56" t="s">
        <v>3887</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ENT_01_A6-23</v>
      </c>
      <c r="E6" s="244"/>
      <c r="F6" s="244"/>
      <c r="G6" s="244"/>
      <c r="H6" s="244"/>
      <c r="I6" s="244"/>
      <c r="J6" s="245"/>
    </row>
    <row r="7" spans="1:45">
      <c r="B7" s="233" t="s">
        <v>115</v>
      </c>
      <c r="C7" s="234"/>
      <c r="D7" s="235" t="s">
        <v>3949</v>
      </c>
      <c r="E7" s="236"/>
      <c r="F7" s="236"/>
      <c r="G7" s="236"/>
      <c r="H7" s="236"/>
      <c r="I7" s="236"/>
      <c r="J7" s="237"/>
    </row>
    <row r="8" spans="1:45">
      <c r="B8" s="233" t="s">
        <v>116</v>
      </c>
      <c r="C8" s="234"/>
      <c r="D8" s="235" t="str">
        <f>エンティティ一覧!AE2&amp;"_"&amp;D5&amp;"_text_mml_mmllb_item_memo"</f>
        <v>sgioy_202310_backup_text_mml_mmllb_item_memo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3950</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4006</v>
      </c>
      <c r="D19" s="6" t="s">
        <v>4007</v>
      </c>
      <c r="E19" s="8" t="s">
        <v>127</v>
      </c>
      <c r="F19" s="7" t="s">
        <v>3950</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4042</v>
      </c>
      <c r="D20" s="6" t="s">
        <v>4043</v>
      </c>
      <c r="E20" s="8" t="s">
        <v>127</v>
      </c>
      <c r="F20" s="7" t="s">
        <v>3950</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4044</v>
      </c>
      <c r="D21" s="6" t="s">
        <v>4045</v>
      </c>
      <c r="E21" s="8"/>
      <c r="F21" s="7" t="s">
        <v>3887</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4046</v>
      </c>
      <c r="D22" s="6" t="s">
        <v>4047</v>
      </c>
      <c r="E22" s="8"/>
      <c r="F22" s="7" t="s">
        <v>3887</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4048</v>
      </c>
      <c r="D23" s="6" t="s">
        <v>4049</v>
      </c>
      <c r="E23" s="8"/>
      <c r="F23" s="7" t="s">
        <v>3887</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8" thickBot="1">
      <c r="A24" s="4"/>
      <c r="B24" s="27">
        <f>ROW()-12</f>
        <v>12</v>
      </c>
      <c r="C24" s="57" t="s">
        <v>4050</v>
      </c>
      <c r="D24" s="57" t="s">
        <v>4051</v>
      </c>
      <c r="E24" s="56"/>
      <c r="F24" s="56" t="s">
        <v>3887</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ENT_01_A6-24</v>
      </c>
      <c r="E6" s="244"/>
      <c r="F6" s="244"/>
      <c r="G6" s="244"/>
      <c r="H6" s="244"/>
      <c r="I6" s="244"/>
      <c r="J6" s="245"/>
    </row>
    <row r="7" spans="1:45">
      <c r="B7" s="233" t="s">
        <v>115</v>
      </c>
      <c r="C7" s="234"/>
      <c r="D7" s="235" t="s">
        <v>2815</v>
      </c>
      <c r="E7" s="236"/>
      <c r="F7" s="236"/>
      <c r="G7" s="236"/>
      <c r="H7" s="236"/>
      <c r="I7" s="236"/>
      <c r="J7" s="237"/>
    </row>
    <row r="8" spans="1:45">
      <c r="B8" s="233" t="s">
        <v>116</v>
      </c>
      <c r="C8" s="234"/>
      <c r="D8" s="235" t="str">
        <f>エンティティ一覧!AE2&amp;"_"&amp;D5&amp;"_text_mml_mmlps_body"</f>
        <v>sgioy_202310_backup_text_mml_mmlps_body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ENT_01_A6-25</v>
      </c>
      <c r="E6" s="244"/>
      <c r="F6" s="244"/>
      <c r="G6" s="244"/>
      <c r="H6" s="244"/>
      <c r="I6" s="244"/>
      <c r="J6" s="245"/>
    </row>
    <row r="7" spans="1:45">
      <c r="B7" s="233" t="s">
        <v>115</v>
      </c>
      <c r="C7" s="234"/>
      <c r="D7" s="235" t="s">
        <v>2823</v>
      </c>
      <c r="E7" s="236"/>
      <c r="F7" s="236"/>
      <c r="G7" s="236"/>
      <c r="H7" s="236"/>
      <c r="I7" s="236"/>
      <c r="J7" s="237"/>
    </row>
    <row r="8" spans="1:45">
      <c r="B8" s="233" t="s">
        <v>116</v>
      </c>
      <c r="C8" s="234"/>
      <c r="D8" s="235" t="str">
        <f>エンティティ一覧!AE2&amp;"_"&amp;D5&amp;"_text_mml_mmlps_medication"</f>
        <v>sgioy_202310_backup_text_mml_mmlps_medication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ENT_01_A6-26</v>
      </c>
      <c r="E6" s="244"/>
      <c r="F6" s="244"/>
      <c r="G6" s="244"/>
      <c r="H6" s="244"/>
      <c r="I6" s="244"/>
      <c r="J6" s="245"/>
    </row>
    <row r="7" spans="1:45">
      <c r="B7" s="233" t="s">
        <v>115</v>
      </c>
      <c r="C7" s="234"/>
      <c r="D7" s="235" t="s">
        <v>2859</v>
      </c>
      <c r="E7" s="236"/>
      <c r="F7" s="236"/>
      <c r="G7" s="236"/>
      <c r="H7" s="236"/>
      <c r="I7" s="236"/>
      <c r="J7" s="237"/>
    </row>
    <row r="8" spans="1:45">
      <c r="B8" s="233" t="s">
        <v>116</v>
      </c>
      <c r="C8" s="234"/>
      <c r="D8" s="235" t="str">
        <f>エンティティ一覧!AE2&amp;"_"&amp;D5&amp;"_text_mml_mmlps_medicine"</f>
        <v>sgioy_202310_backup_text_mml_mmlps_medicine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ENT_01_A6-27</v>
      </c>
      <c r="E6" s="244"/>
      <c r="F6" s="244"/>
      <c r="G6" s="244"/>
      <c r="H6" s="244"/>
      <c r="I6" s="244"/>
      <c r="J6" s="245"/>
    </row>
    <row r="7" spans="1:45">
      <c r="B7" s="233" t="s">
        <v>115</v>
      </c>
      <c r="C7" s="234"/>
      <c r="D7" s="235" t="s">
        <v>2864</v>
      </c>
      <c r="E7" s="236"/>
      <c r="F7" s="236"/>
      <c r="G7" s="236"/>
      <c r="H7" s="236"/>
      <c r="I7" s="236"/>
      <c r="J7" s="237"/>
    </row>
    <row r="8" spans="1:45">
      <c r="B8" s="233" t="s">
        <v>116</v>
      </c>
      <c r="C8" s="234"/>
      <c r="D8" s="235" t="str">
        <f>エンティティ一覧!AE2&amp;"_"&amp;D5&amp;"_text_mml_mmlinj_body"</f>
        <v>sgioy_202310_backup_text_mml_mmlinj_body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ENT_01_A6-28</v>
      </c>
      <c r="E6" s="244"/>
      <c r="F6" s="244"/>
      <c r="G6" s="244"/>
      <c r="H6" s="244"/>
      <c r="I6" s="244"/>
      <c r="J6" s="245"/>
    </row>
    <row r="7" spans="1:45">
      <c r="B7" s="233" t="s">
        <v>115</v>
      </c>
      <c r="C7" s="234"/>
      <c r="D7" s="235" t="s">
        <v>2873</v>
      </c>
      <c r="E7" s="236"/>
      <c r="F7" s="236"/>
      <c r="G7" s="236"/>
      <c r="H7" s="236"/>
      <c r="I7" s="236"/>
      <c r="J7" s="237"/>
    </row>
    <row r="8" spans="1:45">
      <c r="B8" s="233" t="s">
        <v>116</v>
      </c>
      <c r="C8" s="234"/>
      <c r="D8" s="235" t="str">
        <f>エンティティ一覧!AE2&amp;"_"&amp;D5&amp;"_text_mml_mmlinj_medication"</f>
        <v>sgioy_202310_backup_text_mml_mmlinj_medication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ENT_01_A6-29</v>
      </c>
      <c r="E6" s="244"/>
      <c r="F6" s="244"/>
      <c r="G6" s="244"/>
      <c r="H6" s="244"/>
      <c r="I6" s="244"/>
      <c r="J6" s="245"/>
    </row>
    <row r="7" spans="1:45">
      <c r="B7" s="233" t="s">
        <v>115</v>
      </c>
      <c r="C7" s="234"/>
      <c r="D7" s="235" t="s">
        <v>2874</v>
      </c>
      <c r="E7" s="236"/>
      <c r="F7" s="236"/>
      <c r="G7" s="236"/>
      <c r="H7" s="236"/>
      <c r="I7" s="236"/>
      <c r="J7" s="237"/>
    </row>
    <row r="8" spans="1:45">
      <c r="B8" s="233" t="s">
        <v>116</v>
      </c>
      <c r="C8" s="234"/>
      <c r="D8" s="235" t="str">
        <f>エンティティ一覧!AE2&amp;"_"&amp;D5&amp;"_text_mml_mmlinj_medicine"</f>
        <v>sgioy_202310_backup_text_mml_mmlinj_medicine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ENT_01_A6-42</v>
      </c>
      <c r="E6" s="244"/>
      <c r="F6" s="244"/>
      <c r="G6" s="244"/>
      <c r="H6" s="244"/>
      <c r="I6" s="244"/>
      <c r="J6" s="245"/>
    </row>
    <row r="7" spans="1:45">
      <c r="B7" s="233" t="s">
        <v>115</v>
      </c>
      <c r="C7" s="234"/>
      <c r="D7" s="235" t="s">
        <v>2875</v>
      </c>
      <c r="E7" s="236"/>
      <c r="F7" s="236"/>
      <c r="G7" s="236"/>
      <c r="H7" s="236"/>
      <c r="I7" s="236"/>
      <c r="J7" s="237"/>
    </row>
    <row r="8" spans="1:45">
      <c r="B8" s="233" t="s">
        <v>116</v>
      </c>
      <c r="C8" s="234"/>
      <c r="D8" s="235" t="str">
        <f>エンティティ一覧!AE2&amp;"_"&amp;D5&amp;"_text_mml_mmlsg_surgery_item"</f>
        <v>sgioy_202310_backup_text_mml_mmlsg_surgery_item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ENT_01_A6-43</v>
      </c>
      <c r="E6" s="244"/>
      <c r="F6" s="244"/>
      <c r="G6" s="244"/>
      <c r="H6" s="244"/>
      <c r="I6" s="244"/>
      <c r="J6" s="245"/>
    </row>
    <row r="7" spans="1:45">
      <c r="B7" s="233" t="s">
        <v>115</v>
      </c>
      <c r="C7" s="234"/>
      <c r="D7" s="235" t="s">
        <v>2894</v>
      </c>
      <c r="E7" s="236"/>
      <c r="F7" s="236"/>
      <c r="G7" s="236"/>
      <c r="H7" s="236"/>
      <c r="I7" s="236"/>
      <c r="J7" s="237"/>
    </row>
    <row r="8" spans="1:45">
      <c r="B8" s="233" t="s">
        <v>116</v>
      </c>
      <c r="C8" s="234"/>
      <c r="D8" s="235" t="str">
        <f>エンティティ一覧!AE2&amp;"_"&amp;D5&amp;"_text_mml_mmlsg_dp"</f>
        <v>sgioy_202310_backup_text_mml_mmlsg_dp</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2.2">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ENT_01_A6-44</v>
      </c>
      <c r="E6" s="244"/>
      <c r="F6" s="244"/>
      <c r="G6" s="244"/>
      <c r="H6" s="244"/>
      <c r="I6" s="244"/>
      <c r="J6" s="245"/>
    </row>
    <row r="7" spans="1:45">
      <c r="B7" s="233" t="s">
        <v>115</v>
      </c>
      <c r="C7" s="234"/>
      <c r="D7" s="235" t="s">
        <v>2919</v>
      </c>
      <c r="E7" s="236"/>
      <c r="F7" s="236"/>
      <c r="G7" s="236"/>
      <c r="H7" s="236"/>
      <c r="I7" s="236"/>
      <c r="J7" s="237"/>
    </row>
    <row r="8" spans="1:45">
      <c r="B8" s="233" t="s">
        <v>116</v>
      </c>
      <c r="C8" s="234"/>
      <c r="D8" s="235" t="str">
        <f>エンティティ一覧!AE2&amp;"_"&amp;D5&amp;"_text_mml_mmlsg_rd"</f>
        <v>sgioy_202310_backup_text_mml_mmlsg_rd</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ENT_01_A6-45</v>
      </c>
      <c r="E6" s="244"/>
      <c r="F6" s="244"/>
      <c r="G6" s="244"/>
      <c r="H6" s="244"/>
      <c r="I6" s="244"/>
      <c r="J6" s="245"/>
    </row>
    <row r="7" spans="1:45">
      <c r="B7" s="233" t="s">
        <v>115</v>
      </c>
      <c r="C7" s="234"/>
      <c r="D7" s="235" t="s">
        <v>2922</v>
      </c>
      <c r="E7" s="236"/>
      <c r="F7" s="236"/>
      <c r="G7" s="236"/>
      <c r="H7" s="236"/>
      <c r="I7" s="236"/>
      <c r="J7" s="237"/>
    </row>
    <row r="8" spans="1:45">
      <c r="B8" s="233" t="s">
        <v>116</v>
      </c>
      <c r="C8" s="234"/>
      <c r="D8" s="235" t="str">
        <f>エンティティ一覧!AE2&amp;"_"&amp;D5&amp;"_text_mml_mmlsg_rd_byomei"</f>
        <v>sgioy_202310_backup_text_mml_mmlsg_rd_byomei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4.799999999999997">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ENT_01_A6-46</v>
      </c>
      <c r="E6" s="244"/>
      <c r="F6" s="244"/>
      <c r="G6" s="244"/>
      <c r="H6" s="244"/>
      <c r="I6" s="244"/>
      <c r="J6" s="245"/>
    </row>
    <row r="7" spans="1:45">
      <c r="B7" s="233" t="s">
        <v>115</v>
      </c>
      <c r="C7" s="234"/>
      <c r="D7" s="235" t="s">
        <v>2923</v>
      </c>
      <c r="E7" s="236"/>
      <c r="F7" s="236"/>
      <c r="G7" s="236"/>
      <c r="H7" s="236"/>
      <c r="I7" s="236"/>
      <c r="J7" s="237"/>
    </row>
    <row r="8" spans="1:45">
      <c r="B8" s="233" t="s">
        <v>116</v>
      </c>
      <c r="C8" s="234"/>
      <c r="D8" s="235" t="str">
        <f>エンティティ一覧!AE2&amp;"_"&amp;D5&amp;"_text_mml_mmlsg_rd_category"</f>
        <v>sgioy_202310_backup_text_mml_mmlsg_rd_category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ENT_01_A6-47</v>
      </c>
      <c r="E6" s="244"/>
      <c r="F6" s="244"/>
      <c r="G6" s="244"/>
      <c r="H6" s="244"/>
      <c r="I6" s="244"/>
      <c r="J6" s="245"/>
    </row>
    <row r="7" spans="1:45">
      <c r="B7" s="233" t="s">
        <v>115</v>
      </c>
      <c r="C7" s="234"/>
      <c r="D7" s="235" t="s">
        <v>2924</v>
      </c>
      <c r="E7" s="236"/>
      <c r="F7" s="236"/>
      <c r="G7" s="236"/>
      <c r="H7" s="236"/>
      <c r="I7" s="236"/>
      <c r="J7" s="237"/>
    </row>
    <row r="8" spans="1:45">
      <c r="B8" s="233" t="s">
        <v>116</v>
      </c>
      <c r="C8" s="234"/>
      <c r="D8" s="235" t="str">
        <f>エンティティ一覧!AE2&amp;"_"&amp;D5&amp;"_text_mml_mmlsg_procedure_item"</f>
        <v>sgioy_202310_backup_text_mml_mmlsg_procedure_item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ENT_01_A6-48</v>
      </c>
      <c r="E6" s="244"/>
      <c r="F6" s="244"/>
      <c r="G6" s="244"/>
      <c r="H6" s="244"/>
      <c r="I6" s="244"/>
      <c r="J6" s="245"/>
    </row>
    <row r="7" spans="1:45">
      <c r="B7" s="233" t="s">
        <v>115</v>
      </c>
      <c r="C7" s="234"/>
      <c r="D7" s="235" t="s">
        <v>2933</v>
      </c>
      <c r="E7" s="236"/>
      <c r="F7" s="236"/>
      <c r="G7" s="236"/>
      <c r="H7" s="236"/>
      <c r="I7" s="236"/>
      <c r="J7" s="237"/>
    </row>
    <row r="8" spans="1:45">
      <c r="B8" s="233" t="s">
        <v>116</v>
      </c>
      <c r="C8" s="234"/>
      <c r="D8" s="235" t="str">
        <f>エンティティ一覧!AE2&amp;"_"&amp;D5&amp;"_text_mml_mmlsg_operation_element"</f>
        <v>sgioy_202310_backup_text_mml_mmlsg_operation_element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ENT_01_A6-49</v>
      </c>
      <c r="E6" s="244"/>
      <c r="F6" s="244"/>
      <c r="G6" s="244"/>
      <c r="H6" s="244"/>
      <c r="I6" s="244"/>
      <c r="J6" s="245"/>
    </row>
    <row r="7" spans="1:45">
      <c r="B7" s="233" t="s">
        <v>115</v>
      </c>
      <c r="C7" s="234"/>
      <c r="D7" s="235" t="s">
        <v>2937</v>
      </c>
      <c r="E7" s="236"/>
      <c r="F7" s="236"/>
      <c r="G7" s="236"/>
      <c r="H7" s="236"/>
      <c r="I7" s="236"/>
      <c r="J7" s="237"/>
    </row>
    <row r="8" spans="1:45">
      <c r="B8" s="233" t="s">
        <v>116</v>
      </c>
      <c r="C8" s="234"/>
      <c r="D8" s="235" t="str">
        <f>エンティティ一覧!AE2&amp;"_"&amp;D5&amp;"_text_mml_mmlsg_anesthesia_procedure"</f>
        <v>sgioy_202310_backup_text_mml_mmlsg_anesthesia_procedure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ENT_01_A6-50</v>
      </c>
      <c r="E6" s="244"/>
      <c r="F6" s="244"/>
      <c r="G6" s="244"/>
      <c r="H6" s="244"/>
      <c r="I6" s="244"/>
      <c r="J6" s="245"/>
    </row>
    <row r="7" spans="1:45">
      <c r="B7" s="233" t="s">
        <v>115</v>
      </c>
      <c r="C7" s="234"/>
      <c r="D7" s="235" t="s">
        <v>2944</v>
      </c>
      <c r="E7" s="236"/>
      <c r="F7" s="236"/>
      <c r="G7" s="236"/>
      <c r="H7" s="236"/>
      <c r="I7" s="236"/>
      <c r="J7" s="237"/>
    </row>
    <row r="8" spans="1:45">
      <c r="B8" s="233" t="s">
        <v>116</v>
      </c>
      <c r="C8" s="234"/>
      <c r="D8" s="235" t="str">
        <f>エンティティ一覧!AE2&amp;"_"&amp;D5&amp;"_text_mml_mmlrp_body"</f>
        <v>sgioy_202310_backup_text_mml_mmlrp_body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ENT_01_A6-51</v>
      </c>
      <c r="E6" s="244"/>
      <c r="F6" s="244"/>
      <c r="G6" s="244"/>
      <c r="H6" s="244"/>
      <c r="I6" s="244"/>
      <c r="J6" s="245"/>
    </row>
    <row r="7" spans="1:45">
      <c r="B7" s="233" t="s">
        <v>115</v>
      </c>
      <c r="C7" s="234"/>
      <c r="D7" s="235" t="s">
        <v>3002</v>
      </c>
      <c r="E7" s="236"/>
      <c r="F7" s="236"/>
      <c r="G7" s="236"/>
      <c r="H7" s="236"/>
      <c r="I7" s="236"/>
      <c r="J7" s="237"/>
    </row>
    <row r="8" spans="1:45">
      <c r="B8" s="233" t="s">
        <v>116</v>
      </c>
      <c r="C8" s="234"/>
      <c r="D8" s="235" t="str">
        <f>エンティティ一覧!AE2&amp;"_"&amp;D5&amp;"_text_mml_mmlrp_test_memo"</f>
        <v>sgioy_202310_backup_text_mml_mmlrp_test_memo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ENT_01_A6-52</v>
      </c>
      <c r="E6" s="244"/>
      <c r="F6" s="244"/>
      <c r="G6" s="244"/>
      <c r="H6" s="244"/>
      <c r="I6" s="244"/>
      <c r="J6" s="245"/>
    </row>
    <row r="7" spans="1:45">
      <c r="B7" s="233" t="s">
        <v>115</v>
      </c>
      <c r="C7" s="234"/>
      <c r="D7" s="235" t="s">
        <v>3223</v>
      </c>
      <c r="E7" s="236"/>
      <c r="F7" s="236"/>
      <c r="G7" s="236"/>
      <c r="H7" s="236"/>
      <c r="I7" s="236"/>
      <c r="J7" s="237"/>
    </row>
    <row r="8" spans="1:45">
      <c r="B8" s="233" t="s">
        <v>116</v>
      </c>
      <c r="C8" s="234"/>
      <c r="D8" s="235" t="str">
        <f>エンティティ一覧!AE2&amp;"_"&amp;D5&amp;"_text_mml_mmlls_body"</f>
        <v>sgioy_202310_backup_text_mml_mmlls_body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8"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ENT_01_A6-53</v>
      </c>
      <c r="E6" s="244"/>
      <c r="F6" s="244"/>
      <c r="G6" s="244"/>
      <c r="H6" s="244"/>
      <c r="I6" s="244"/>
      <c r="J6" s="245"/>
    </row>
    <row r="7" spans="1:45">
      <c r="B7" s="233" t="s">
        <v>115</v>
      </c>
      <c r="C7" s="234"/>
      <c r="D7" s="235" t="s">
        <v>3013</v>
      </c>
      <c r="E7" s="236"/>
      <c r="F7" s="236"/>
      <c r="G7" s="236"/>
      <c r="H7" s="236"/>
      <c r="I7" s="236"/>
      <c r="J7" s="237"/>
    </row>
    <row r="8" spans="1:45">
      <c r="B8" s="233" t="s">
        <v>116</v>
      </c>
      <c r="C8" s="234"/>
      <c r="D8" s="235" t="str">
        <f>エンティティ一覧!AE2&amp;"_"&amp;D5&amp;"_text_mml_mmlre_body"</f>
        <v>sgioy_202310_backup_text_mml_mmlre_body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0">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0">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8"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ENT_01_A6-54</v>
      </c>
      <c r="E6" s="244"/>
      <c r="F6" s="244"/>
      <c r="G6" s="244"/>
      <c r="H6" s="244"/>
      <c r="I6" s="244"/>
      <c r="J6" s="245"/>
    </row>
    <row r="7" spans="1:45">
      <c r="B7" s="233" t="s">
        <v>115</v>
      </c>
      <c r="C7" s="234"/>
      <c r="D7" s="235" t="s">
        <v>3042</v>
      </c>
      <c r="E7" s="236"/>
      <c r="F7" s="236"/>
      <c r="G7" s="236"/>
      <c r="H7" s="236"/>
      <c r="I7" s="236"/>
      <c r="J7" s="237"/>
    </row>
    <row r="8" spans="1:45">
      <c r="B8" s="233" t="s">
        <v>116</v>
      </c>
      <c r="C8" s="234"/>
      <c r="D8" s="235" t="str">
        <f>エンティティ一覧!AE2&amp;"_"&amp;D5&amp;"_text_mml_mmlre_inj"</f>
        <v>sgioy_202310_backup_text_mml_mmlre_inj</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ENT_01_A6-55</v>
      </c>
      <c r="E6" s="244"/>
      <c r="F6" s="244"/>
      <c r="G6" s="244"/>
      <c r="H6" s="244"/>
      <c r="I6" s="244"/>
      <c r="J6" s="245"/>
    </row>
    <row r="7" spans="1:45">
      <c r="B7" s="233" t="s">
        <v>115</v>
      </c>
      <c r="C7" s="234"/>
      <c r="D7" s="235" t="s">
        <v>3043</v>
      </c>
      <c r="E7" s="236"/>
      <c r="F7" s="236"/>
      <c r="G7" s="236"/>
      <c r="H7" s="236"/>
      <c r="I7" s="236"/>
      <c r="J7" s="237"/>
    </row>
    <row r="8" spans="1:45">
      <c r="B8" s="233" t="s">
        <v>116</v>
      </c>
      <c r="C8" s="234"/>
      <c r="D8" s="235" t="str">
        <f>エンティティ一覧!AE2&amp;"_"&amp;D5&amp;"_text_mml_mmlre_inj_medication"</f>
        <v>sgioy_202310_backup_text_mml_mmlre_inj_medication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ENT_01_A6-56</v>
      </c>
      <c r="E6" s="244"/>
      <c r="F6" s="244"/>
      <c r="G6" s="244"/>
      <c r="H6" s="244"/>
      <c r="I6" s="244"/>
      <c r="J6" s="245"/>
    </row>
    <row r="7" spans="1:45">
      <c r="B7" s="233" t="s">
        <v>115</v>
      </c>
      <c r="C7" s="234"/>
      <c r="D7" s="235" t="s">
        <v>3046</v>
      </c>
      <c r="E7" s="236"/>
      <c r="F7" s="236"/>
      <c r="G7" s="236"/>
      <c r="H7" s="236"/>
      <c r="I7" s="236"/>
      <c r="J7" s="237"/>
    </row>
    <row r="8" spans="1:45">
      <c r="B8" s="233" t="s">
        <v>116</v>
      </c>
      <c r="C8" s="234"/>
      <c r="D8" s="235" t="str">
        <f>エンティティ一覧!AE2&amp;"_"&amp;D5&amp;"_text_mml_mmlre_inj_medicine"</f>
        <v>sgioy_202310_backup_text_mml_mmlre_inj_medicine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ENT_01_A6-57</v>
      </c>
      <c r="E6" s="244"/>
      <c r="F6" s="244"/>
      <c r="G6" s="244"/>
      <c r="H6" s="244"/>
      <c r="I6" s="244"/>
      <c r="J6" s="245"/>
    </row>
    <row r="7" spans="1:45">
      <c r="B7" s="233" t="s">
        <v>115</v>
      </c>
      <c r="C7" s="234"/>
      <c r="D7" s="235" t="s">
        <v>3047</v>
      </c>
      <c r="E7" s="236"/>
      <c r="F7" s="236"/>
      <c r="G7" s="236"/>
      <c r="H7" s="236"/>
      <c r="I7" s="236"/>
      <c r="J7" s="237"/>
    </row>
    <row r="8" spans="1:45">
      <c r="B8" s="233" t="s">
        <v>116</v>
      </c>
      <c r="C8" s="234"/>
      <c r="D8" s="235" t="str">
        <f>エンティティ一覧!AE2&amp;"_"&amp;D5&amp;"_text_mml_mmlre_pi"</f>
        <v>sgioy_202310_backup_text_mml_mmlre_pi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69.599999999999994">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4.799999999999997">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ENT_01_A6-58</v>
      </c>
      <c r="E6" s="244"/>
      <c r="F6" s="244"/>
      <c r="G6" s="244"/>
      <c r="H6" s="244"/>
      <c r="I6" s="244"/>
      <c r="J6" s="245"/>
    </row>
    <row r="7" spans="1:45">
      <c r="B7" s="233" t="s">
        <v>115</v>
      </c>
      <c r="C7" s="234"/>
      <c r="D7" s="235" t="s">
        <v>3057</v>
      </c>
      <c r="E7" s="236"/>
      <c r="F7" s="236"/>
      <c r="G7" s="236"/>
      <c r="H7" s="236"/>
      <c r="I7" s="236"/>
      <c r="J7" s="237"/>
    </row>
    <row r="8" spans="1:45">
      <c r="B8" s="233" t="s">
        <v>116</v>
      </c>
      <c r="C8" s="234"/>
      <c r="D8" s="235" t="str">
        <f>エンティティ一覧!AE2&amp;"_"&amp;D5&amp;"_text_mml_mmlre_pi_address"</f>
        <v>sgioy_202310_backup_text_mml_mmlre_pi_address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ENT_01_A6-59</v>
      </c>
      <c r="E6" s="244"/>
      <c r="F6" s="244"/>
      <c r="G6" s="244"/>
      <c r="H6" s="244"/>
      <c r="I6" s="244"/>
      <c r="J6" s="245"/>
    </row>
    <row r="7" spans="1:45">
      <c r="B7" s="233" t="s">
        <v>115</v>
      </c>
      <c r="C7" s="234"/>
      <c r="D7" s="235" t="s">
        <v>3075</v>
      </c>
      <c r="E7" s="236"/>
      <c r="F7" s="236"/>
      <c r="G7" s="236"/>
      <c r="H7" s="236"/>
      <c r="I7" s="236"/>
      <c r="J7" s="237"/>
    </row>
    <row r="8" spans="1:45">
      <c r="B8" s="233" t="s">
        <v>116</v>
      </c>
      <c r="C8" s="234"/>
      <c r="D8" s="235" t="str">
        <f>エンティティ一覧!AE2&amp;"_"&amp;D5&amp;"_text_mml_mmlre_ps"</f>
        <v>sgioy_202310_backup_text_mml_mmlre_ps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ENT_01_A6-60</v>
      </c>
      <c r="E6" s="244"/>
      <c r="F6" s="244"/>
      <c r="G6" s="244"/>
      <c r="H6" s="244"/>
      <c r="I6" s="244"/>
      <c r="J6" s="245"/>
    </row>
    <row r="7" spans="1:45">
      <c r="B7" s="233" t="s">
        <v>115</v>
      </c>
      <c r="C7" s="234"/>
      <c r="D7" s="235" t="s">
        <v>3076</v>
      </c>
      <c r="E7" s="236"/>
      <c r="F7" s="236"/>
      <c r="G7" s="236"/>
      <c r="H7" s="236"/>
      <c r="I7" s="236"/>
      <c r="J7" s="237"/>
    </row>
    <row r="8" spans="1:45">
      <c r="B8" s="233" t="s">
        <v>116</v>
      </c>
      <c r="C8" s="234"/>
      <c r="D8" s="235" t="str">
        <f>エンティティ一覧!AE2&amp;"_"&amp;D5&amp;"_text_mml_mmlre_ps_medication"</f>
        <v>sgioy_202310_backup_text_mml_mmlre_ps_medication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ENT_01_A6-61</v>
      </c>
      <c r="E6" s="244"/>
      <c r="F6" s="244"/>
      <c r="G6" s="244"/>
      <c r="H6" s="244"/>
      <c r="I6" s="244"/>
      <c r="J6" s="245"/>
    </row>
    <row r="7" spans="1:45">
      <c r="B7" s="233" t="s">
        <v>115</v>
      </c>
      <c r="C7" s="234"/>
      <c r="D7" s="235" t="s">
        <v>3077</v>
      </c>
      <c r="E7" s="236"/>
      <c r="F7" s="236"/>
      <c r="G7" s="236"/>
      <c r="H7" s="236"/>
      <c r="I7" s="236"/>
      <c r="J7" s="237"/>
    </row>
    <row r="8" spans="1:45">
      <c r="B8" s="233" t="s">
        <v>116</v>
      </c>
      <c r="C8" s="234"/>
      <c r="D8" s="235" t="str">
        <f>エンティティ一覧!AE2&amp;"_"&amp;D5&amp;"_text_mml_mmlre_ps_medicine"</f>
        <v>sgioy_202310_backup_text_mml_mmlre_ps_medicine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ENT_01_A6-62</v>
      </c>
      <c r="E6" s="244"/>
      <c r="F6" s="244"/>
      <c r="G6" s="244"/>
      <c r="H6" s="244"/>
      <c r="I6" s="244"/>
      <c r="J6" s="245"/>
    </row>
    <row r="7" spans="1:45">
      <c r="B7" s="233" t="s">
        <v>115</v>
      </c>
      <c r="C7" s="234"/>
      <c r="D7" s="235" t="s">
        <v>3078</v>
      </c>
      <c r="E7" s="236"/>
      <c r="F7" s="236"/>
      <c r="G7" s="236"/>
      <c r="H7" s="236"/>
      <c r="I7" s="236"/>
      <c r="J7" s="237"/>
    </row>
    <row r="8" spans="1:45">
      <c r="B8" s="233" t="s">
        <v>116</v>
      </c>
      <c r="C8" s="234"/>
      <c r="D8" s="235" t="str">
        <f>エンティティ一覧!AE2&amp;"_"&amp;D5&amp;"_text_mml_mmlre_sm_clinical_record"</f>
        <v>sgioy_202310_backup_text_mml_mmlre_sm_clinical_record</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ENT_01_A6-63</v>
      </c>
      <c r="E6" s="244"/>
      <c r="F6" s="244"/>
      <c r="G6" s="244"/>
      <c r="H6" s="244"/>
      <c r="I6" s="244"/>
      <c r="J6" s="245"/>
    </row>
    <row r="7" spans="1:45">
      <c r="B7" s="233" t="s">
        <v>115</v>
      </c>
      <c r="C7" s="234"/>
      <c r="D7" s="235" t="s">
        <v>3089</v>
      </c>
      <c r="E7" s="236"/>
      <c r="F7" s="236"/>
      <c r="G7" s="236"/>
      <c r="H7" s="236"/>
      <c r="I7" s="236"/>
      <c r="J7" s="237"/>
    </row>
    <row r="8" spans="1:45">
      <c r="B8" s="233" t="s">
        <v>116</v>
      </c>
      <c r="C8" s="234"/>
      <c r="D8" s="235" t="str">
        <f>エンティティ一覧!AE2&amp;"_"&amp;D5&amp;"_text_mml_mmlre_dp"</f>
        <v>sgioy_202310_backup_text_mml_mmlre_dp</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ENT_01_C1-01</v>
      </c>
      <c r="E6" s="244"/>
      <c r="F6" s="244"/>
      <c r="G6" s="244"/>
      <c r="H6" s="244"/>
      <c r="I6" s="244"/>
      <c r="J6" s="245"/>
    </row>
    <row r="7" spans="1:45">
      <c r="B7" s="233" t="s">
        <v>115</v>
      </c>
      <c r="C7" s="234"/>
      <c r="D7" s="235" t="s">
        <v>197</v>
      </c>
      <c r="E7" s="236"/>
      <c r="F7" s="236"/>
      <c r="G7" s="236"/>
      <c r="H7" s="236"/>
      <c r="I7" s="236"/>
      <c r="J7" s="237"/>
    </row>
    <row r="8" spans="1:45">
      <c r="B8" s="233" t="s">
        <v>116</v>
      </c>
      <c r="C8" s="234"/>
      <c r="D8" s="235" t="str">
        <f>エンティティ一覧!AE2&amp;"_"&amp;D5&amp;"_merge_dpc_dn"</f>
        <v>sgioy_202310_backup_merge_dpc_dn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4.799999999999997">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5.4"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ENT_01_C1-02</v>
      </c>
      <c r="E6" s="244"/>
      <c r="F6" s="244"/>
      <c r="G6" s="244"/>
      <c r="H6" s="244"/>
      <c r="I6" s="244"/>
      <c r="J6" s="245"/>
    </row>
    <row r="7" spans="1:45">
      <c r="B7" s="233" t="s">
        <v>115</v>
      </c>
      <c r="C7" s="234"/>
      <c r="D7" s="235" t="s">
        <v>191</v>
      </c>
      <c r="E7" s="236"/>
      <c r="F7" s="236"/>
      <c r="G7" s="236"/>
      <c r="H7" s="236"/>
      <c r="I7" s="236"/>
      <c r="J7" s="237"/>
    </row>
    <row r="8" spans="1:45">
      <c r="B8" s="233" t="s">
        <v>116</v>
      </c>
      <c r="C8" s="234"/>
      <c r="D8" s="235" t="str">
        <f>エンティティ一覧!AE2&amp;"_"&amp;D5&amp;"_merge_dpc_efn"</f>
        <v>sgioy_202310_backup_merge_dpc_efn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2.2">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2.2">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8"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ENT_01_C1-03</v>
      </c>
      <c r="E6" s="244"/>
      <c r="F6" s="244"/>
      <c r="G6" s="244"/>
      <c r="H6" s="244"/>
      <c r="I6" s="244"/>
      <c r="J6" s="245"/>
    </row>
    <row r="7" spans="1:45">
      <c r="B7" s="233" t="s">
        <v>115</v>
      </c>
      <c r="C7" s="234"/>
      <c r="D7" s="235" t="s">
        <v>178</v>
      </c>
      <c r="E7" s="236"/>
      <c r="F7" s="236"/>
      <c r="G7" s="236"/>
      <c r="H7" s="236"/>
      <c r="I7" s="236"/>
      <c r="J7" s="237"/>
    </row>
    <row r="8" spans="1:45">
      <c r="B8" s="233" t="s">
        <v>116</v>
      </c>
      <c r="C8" s="234"/>
      <c r="D8" s="235" t="str">
        <f>エンティティ一覧!AE2&amp;"_"&amp;D5&amp;"_merge_dpc_efg"</f>
        <v>sgioy_202310_backup_merge_dpc_efg</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2.2">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2.2">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8"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ENT_01_C1-04</v>
      </c>
      <c r="E6" s="244"/>
      <c r="F6" s="244"/>
      <c r="G6" s="244"/>
      <c r="H6" s="244"/>
      <c r="I6" s="244"/>
      <c r="J6" s="245"/>
    </row>
    <row r="7" spans="1:45">
      <c r="B7" s="233" t="s">
        <v>115</v>
      </c>
      <c r="C7" s="234"/>
      <c r="D7" s="235" t="s">
        <v>356</v>
      </c>
      <c r="E7" s="236"/>
      <c r="F7" s="236"/>
      <c r="G7" s="236"/>
      <c r="H7" s="236"/>
      <c r="I7" s="236"/>
      <c r="J7" s="237"/>
    </row>
    <row r="8" spans="1:45">
      <c r="B8" s="233" t="s">
        <v>116</v>
      </c>
      <c r="C8" s="234"/>
      <c r="D8" s="235" t="str">
        <f>エンティティ一覧!AE2&amp;"_"&amp;D5&amp;"_merge_dpc_hn"</f>
        <v>sgioy_202310_backup_merge_dpc_hn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4.799999999999997">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56.6">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ht="30">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0">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0">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61">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ht="30">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56.6">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ht="30">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0">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0">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39.19999999999999">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ht="30">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56.6">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0">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0">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0">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39.19999999999999">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ht="30">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4.799999999999997">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ht="30">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4.799999999999997">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0">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0">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0">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0">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0">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0">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0">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0">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0">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0">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0">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0">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0">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ht="30">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0">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0">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0">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0">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0">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0">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0">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0">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0">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0">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4.799999999999997">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ht="30">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4.799999999999997">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0">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0">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ht="30">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0">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56.6">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4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ht="30">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0">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ht="30">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4.799999999999997">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0">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0">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ENT_01_C1-05</v>
      </c>
      <c r="E6" s="244"/>
      <c r="F6" s="244"/>
      <c r="G6" s="244"/>
      <c r="H6" s="244"/>
      <c r="I6" s="244"/>
      <c r="J6" s="245"/>
    </row>
    <row r="7" spans="1:45">
      <c r="B7" s="233" t="s">
        <v>115</v>
      </c>
      <c r="C7" s="234"/>
      <c r="D7" s="235" t="s">
        <v>179</v>
      </c>
      <c r="E7" s="236"/>
      <c r="F7" s="236"/>
      <c r="G7" s="236"/>
      <c r="H7" s="236"/>
      <c r="I7" s="236"/>
      <c r="J7" s="237"/>
    </row>
    <row r="8" spans="1:45">
      <c r="B8" s="233" t="s">
        <v>116</v>
      </c>
      <c r="C8" s="234"/>
      <c r="D8" s="235" t="str">
        <f>エンティティ一覧!AE2&amp;"_"&amp;D5&amp;"_merge_dpc_ff1"</f>
        <v>sgioy_202310_backup_merge_dpc_ff1</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87">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0">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ENT_01_C1-07</v>
      </c>
      <c r="E6" s="244"/>
      <c r="F6" s="244"/>
      <c r="G6" s="244"/>
      <c r="H6" s="244"/>
      <c r="I6" s="244"/>
      <c r="J6" s="245"/>
    </row>
    <row r="7" spans="1:45">
      <c r="B7" s="233" t="s">
        <v>115</v>
      </c>
      <c r="C7" s="234"/>
      <c r="D7" s="235" t="s">
        <v>313</v>
      </c>
      <c r="E7" s="236"/>
      <c r="F7" s="236"/>
      <c r="G7" s="236"/>
      <c r="H7" s="236"/>
      <c r="I7" s="236"/>
      <c r="J7" s="237"/>
    </row>
    <row r="8" spans="1:45">
      <c r="B8" s="233" t="s">
        <v>116</v>
      </c>
      <c r="C8" s="234"/>
      <c r="D8" s="235" t="str">
        <f>エンティティ一覧!AE2&amp;"_"&amp;D5&amp;"_merge_dpc_ff1_a006040"</f>
        <v>sgioy_202310_backup_merge_dpc_ff1_a006040</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ENT_01_C1-08</v>
      </c>
      <c r="E6" s="244"/>
      <c r="F6" s="244"/>
      <c r="G6" s="244"/>
      <c r="H6" s="244"/>
      <c r="I6" s="244"/>
      <c r="J6" s="245"/>
    </row>
    <row r="7" spans="1:45">
      <c r="B7" s="233" t="s">
        <v>115</v>
      </c>
      <c r="C7" s="234"/>
      <c r="D7" s="235" t="s">
        <v>314</v>
      </c>
      <c r="E7" s="236"/>
      <c r="F7" s="236"/>
      <c r="G7" s="236"/>
      <c r="H7" s="236"/>
      <c r="I7" s="236"/>
      <c r="J7" s="237"/>
    </row>
    <row r="8" spans="1:45">
      <c r="B8" s="233" t="s">
        <v>116</v>
      </c>
      <c r="C8" s="234"/>
      <c r="D8" s="235" t="str">
        <f>エンティティ一覧!AE2&amp;"_"&amp;D5&amp;"_merge_dpc_ff1_a006050"</f>
        <v>sgioy_202310_backup_merge_dpc_ff1_a006050</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ENT_01_C2-01</v>
      </c>
      <c r="E6" s="244"/>
      <c r="F6" s="244"/>
      <c r="G6" s="244"/>
      <c r="H6" s="244"/>
      <c r="I6" s="244"/>
      <c r="J6" s="245"/>
    </row>
    <row r="7" spans="1:45">
      <c r="B7" s="233" t="s">
        <v>115</v>
      </c>
      <c r="C7" s="234"/>
      <c r="D7" s="235" t="s">
        <v>907</v>
      </c>
      <c r="E7" s="236"/>
      <c r="F7" s="236"/>
      <c r="G7" s="236"/>
      <c r="H7" s="236"/>
      <c r="I7" s="236"/>
      <c r="J7" s="237"/>
    </row>
    <row r="8" spans="1:45">
      <c r="B8" s="233" t="s">
        <v>116</v>
      </c>
      <c r="C8" s="234"/>
      <c r="D8" s="235" t="str">
        <f>エンティティ一覧!AE2&amp;"_"&amp;D5&amp;"_merge_receiptc_ir"</f>
        <v>sgioy_202310_backup_merge_receiptc_ir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8"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ENT_01_C2-02</v>
      </c>
      <c r="E6" s="244"/>
      <c r="F6" s="244"/>
      <c r="G6" s="244"/>
      <c r="H6" s="244"/>
      <c r="I6" s="244"/>
      <c r="J6" s="245"/>
    </row>
    <row r="7" spans="1:45">
      <c r="B7" s="233" t="s">
        <v>115</v>
      </c>
      <c r="C7" s="234"/>
      <c r="D7" s="235" t="s">
        <v>943</v>
      </c>
      <c r="E7" s="236"/>
      <c r="F7" s="236"/>
      <c r="G7" s="236"/>
      <c r="H7" s="236"/>
      <c r="I7" s="236"/>
      <c r="J7" s="237"/>
    </row>
    <row r="8" spans="1:45">
      <c r="B8" s="233" t="s">
        <v>116</v>
      </c>
      <c r="C8" s="234"/>
      <c r="D8" s="235" t="str">
        <f>エンティティ一覧!AE2&amp;"_"&amp;D5&amp;"_merge_receiptc_re"</f>
        <v>sgioy_202310_backup_merge_receiptc_re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69.599999999999994">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ht="34.799999999999997">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87">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69.599999999999994">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0">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2.2">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8"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ENT_01_C2-06</v>
      </c>
      <c r="E6" s="244"/>
      <c r="F6" s="244"/>
      <c r="G6" s="244"/>
      <c r="H6" s="244"/>
      <c r="I6" s="244"/>
      <c r="J6" s="245"/>
    </row>
    <row r="7" spans="1:45">
      <c r="B7" s="233" t="s">
        <v>115</v>
      </c>
      <c r="C7" s="234"/>
      <c r="D7" s="235" t="s">
        <v>1075</v>
      </c>
      <c r="E7" s="236"/>
      <c r="F7" s="236"/>
      <c r="G7" s="236"/>
      <c r="H7" s="236"/>
      <c r="I7" s="236"/>
      <c r="J7" s="237"/>
    </row>
    <row r="8" spans="1:45">
      <c r="B8" s="233" t="s">
        <v>116</v>
      </c>
      <c r="C8" s="234"/>
      <c r="D8" s="235" t="str">
        <f>エンティティ一覧!AE2&amp;"_"&amp;D5&amp;"_merge_receiptc_sy"</f>
        <v>sgioy_202310_backup_merge_receiptc_sy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69.599999999999994">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8"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ENT_01_C2-07</v>
      </c>
      <c r="E6" s="244"/>
      <c r="F6" s="244"/>
      <c r="G6" s="244"/>
      <c r="H6" s="244"/>
      <c r="I6" s="244"/>
      <c r="J6" s="245"/>
    </row>
    <row r="7" spans="1:45">
      <c r="B7" s="233" t="s">
        <v>115</v>
      </c>
      <c r="C7" s="234"/>
      <c r="D7" s="235" t="s">
        <v>1124</v>
      </c>
      <c r="E7" s="236"/>
      <c r="F7" s="236"/>
      <c r="G7" s="236"/>
      <c r="H7" s="236"/>
      <c r="I7" s="236"/>
      <c r="J7" s="237"/>
    </row>
    <row r="8" spans="1:45">
      <c r="B8" s="233" t="s">
        <v>116</v>
      </c>
      <c r="C8" s="234"/>
      <c r="D8" s="235" t="str">
        <f>エンティティ一覧!AE2&amp;"_"&amp;D5&amp;"_merge_receiptc_si"</f>
        <v>sgioy_202310_backup_merge_receiptc_si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ENT_01_C2-08</v>
      </c>
      <c r="E6" s="244"/>
      <c r="F6" s="244"/>
      <c r="G6" s="244"/>
      <c r="H6" s="244"/>
      <c r="I6" s="244"/>
      <c r="J6" s="245"/>
    </row>
    <row r="7" spans="1:45">
      <c r="B7" s="233" t="s">
        <v>115</v>
      </c>
      <c r="C7" s="234"/>
      <c r="D7" s="235" t="s">
        <v>1152</v>
      </c>
      <c r="E7" s="236"/>
      <c r="F7" s="236"/>
      <c r="G7" s="236"/>
      <c r="H7" s="236"/>
      <c r="I7" s="236"/>
      <c r="J7" s="237"/>
    </row>
    <row r="8" spans="1:45">
      <c r="B8" s="233" t="s">
        <v>116</v>
      </c>
      <c r="C8" s="234"/>
      <c r="D8" s="235" t="str">
        <f>エンティティ一覧!AE2&amp;"_"&amp;D5&amp;"_merge_receiptc_si_day"</f>
        <v>sgioy_202310_backup_merge_receiptc_si_day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ENT_01_C2-09</v>
      </c>
      <c r="E6" s="244"/>
      <c r="F6" s="244"/>
      <c r="G6" s="244"/>
      <c r="H6" s="244"/>
      <c r="I6" s="244"/>
      <c r="J6" s="245"/>
    </row>
    <row r="7" spans="1:45">
      <c r="B7" s="233" t="s">
        <v>115</v>
      </c>
      <c r="C7" s="234"/>
      <c r="D7" s="235" t="s">
        <v>1160</v>
      </c>
      <c r="E7" s="236"/>
      <c r="F7" s="236"/>
      <c r="G7" s="236"/>
      <c r="H7" s="236"/>
      <c r="I7" s="236"/>
      <c r="J7" s="237"/>
    </row>
    <row r="8" spans="1:45">
      <c r="B8" s="233" t="s">
        <v>116</v>
      </c>
      <c r="C8" s="234"/>
      <c r="D8" s="235" t="str">
        <f>エンティティ一覧!AE2&amp;"_"&amp;D5&amp;"_merge_receiptc_iy"</f>
        <v>sgioy_202310_backup_merge_receiptc_iy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4.799999999999997">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ENT_01_C2-10</v>
      </c>
      <c r="E6" s="244"/>
      <c r="F6" s="244"/>
      <c r="G6" s="244"/>
      <c r="H6" s="244"/>
      <c r="I6" s="244"/>
      <c r="J6" s="245"/>
    </row>
    <row r="7" spans="1:45">
      <c r="B7" s="233" t="s">
        <v>115</v>
      </c>
      <c r="C7" s="234"/>
      <c r="D7" s="235" t="s">
        <v>1168</v>
      </c>
      <c r="E7" s="236"/>
      <c r="F7" s="236"/>
      <c r="G7" s="236"/>
      <c r="H7" s="236"/>
      <c r="I7" s="236"/>
      <c r="J7" s="237"/>
    </row>
    <row r="8" spans="1:45">
      <c r="B8" s="233" t="s">
        <v>116</v>
      </c>
      <c r="C8" s="234"/>
      <c r="D8" s="235" t="str">
        <f>エンティティ一覧!AE2&amp;"_"&amp;D5&amp;"_merge_receiptc_iy_day"</f>
        <v>sgioy_202310_backup_merge_receiptc_iy_day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ENT_01_C2-16</v>
      </c>
      <c r="E6" s="244"/>
      <c r="F6" s="244"/>
      <c r="G6" s="244"/>
      <c r="H6" s="244"/>
      <c r="I6" s="244"/>
      <c r="J6" s="245"/>
    </row>
    <row r="7" spans="1:45">
      <c r="B7" s="233" t="s">
        <v>115</v>
      </c>
      <c r="C7" s="234"/>
      <c r="D7" s="235" t="s">
        <v>1169</v>
      </c>
      <c r="E7" s="236"/>
      <c r="F7" s="236"/>
      <c r="G7" s="236"/>
      <c r="H7" s="236"/>
      <c r="I7" s="236"/>
      <c r="J7" s="237"/>
    </row>
    <row r="8" spans="1:45">
      <c r="B8" s="233" t="s">
        <v>116</v>
      </c>
      <c r="C8" s="234"/>
      <c r="D8" s="235" t="str">
        <f>エンティティ一覧!AE2&amp;"_"&amp;D5&amp;"_merge_receiptc_tr"</f>
        <v>sgioy_202310_backup_merge_receiptc_tr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0">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2.2">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87">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69.599999999999994">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0">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8"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ENT_01_C3-01</v>
      </c>
      <c r="E6" s="244"/>
      <c r="F6" s="244"/>
      <c r="G6" s="244"/>
      <c r="H6" s="244"/>
      <c r="I6" s="244"/>
      <c r="J6" s="245"/>
    </row>
    <row r="7" spans="1:45">
      <c r="B7" s="233" t="s">
        <v>115</v>
      </c>
      <c r="C7" s="234"/>
      <c r="D7" s="235" t="s">
        <v>1201</v>
      </c>
      <c r="E7" s="236"/>
      <c r="F7" s="236"/>
      <c r="G7" s="236"/>
      <c r="H7" s="236"/>
      <c r="I7" s="236"/>
      <c r="J7" s="237"/>
    </row>
    <row r="8" spans="1:45">
      <c r="B8" s="233" t="s">
        <v>116</v>
      </c>
      <c r="C8" s="234"/>
      <c r="D8" s="235" t="str">
        <f>エンティティ一覧!AE2&amp;"_"&amp;D5&amp;"_merge_receiptd_ir"</f>
        <v>sgioy_202310_backup_merge_receiptd_ir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8"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ENT_01_C3-02</v>
      </c>
      <c r="E6" s="244"/>
      <c r="F6" s="244"/>
      <c r="G6" s="244"/>
      <c r="H6" s="244"/>
      <c r="I6" s="244"/>
      <c r="J6" s="245"/>
    </row>
    <row r="7" spans="1:45">
      <c r="B7" s="233" t="s">
        <v>115</v>
      </c>
      <c r="C7" s="234"/>
      <c r="D7" s="235" t="s">
        <v>1206</v>
      </c>
      <c r="E7" s="236"/>
      <c r="F7" s="236"/>
      <c r="G7" s="236"/>
      <c r="H7" s="236"/>
      <c r="I7" s="236"/>
      <c r="J7" s="237"/>
    </row>
    <row r="8" spans="1:45">
      <c r="B8" s="233" t="s">
        <v>116</v>
      </c>
      <c r="C8" s="234"/>
      <c r="D8" s="235" t="str">
        <f>エンティティ一覧!AE2&amp;"_"&amp;D5&amp;"_merge_receiptd_re"</f>
        <v>sgioy_202310_backup_merge_receiptd_re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4.799999999999997">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69.599999999999994">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87">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69.599999999999994">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0">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2.2">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8"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ENT_01_C3-08</v>
      </c>
      <c r="E6" s="244"/>
      <c r="F6" s="244"/>
      <c r="G6" s="244"/>
      <c r="H6" s="244"/>
      <c r="I6" s="244"/>
      <c r="J6" s="245"/>
    </row>
    <row r="7" spans="1:45">
      <c r="B7" s="233" t="s">
        <v>115</v>
      </c>
      <c r="C7" s="234"/>
      <c r="D7" s="235" t="s">
        <v>1211</v>
      </c>
      <c r="E7" s="236"/>
      <c r="F7" s="236"/>
      <c r="G7" s="236"/>
      <c r="H7" s="236"/>
      <c r="I7" s="236"/>
      <c r="J7" s="237"/>
    </row>
    <row r="8" spans="1:45">
      <c r="B8" s="233" t="s">
        <v>116</v>
      </c>
      <c r="C8" s="234"/>
      <c r="D8" s="235" t="str">
        <f>エンティティ一覧!AE2&amp;"_"&amp;D5&amp;"_merge_receiptd_bu"</f>
        <v>sgioy_202310_backup_merge_receiptd_bu</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ht="34.799999999999997">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69.599999999999994">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69.599999999999994">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8"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ENT_01_C3-09</v>
      </c>
      <c r="E6" s="244"/>
      <c r="F6" s="244"/>
      <c r="G6" s="244"/>
      <c r="H6" s="244"/>
      <c r="I6" s="244"/>
      <c r="J6" s="245"/>
    </row>
    <row r="7" spans="1:45">
      <c r="B7" s="233" t="s">
        <v>115</v>
      </c>
      <c r="C7" s="234"/>
      <c r="D7" s="235" t="s">
        <v>1226</v>
      </c>
      <c r="E7" s="236"/>
      <c r="F7" s="236"/>
      <c r="G7" s="236"/>
      <c r="H7" s="236"/>
      <c r="I7" s="236"/>
      <c r="J7" s="237"/>
    </row>
    <row r="8" spans="1:45">
      <c r="B8" s="233" t="s">
        <v>116</v>
      </c>
      <c r="C8" s="234"/>
      <c r="D8" s="235" t="str">
        <f>エンティティ一覧!AE2&amp;"_"&amp;D5&amp;"_merge_receiptd_sb"</f>
        <v>sgioy_202310_backup_merge_receiptd_sb</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ENT_01_C3-10</v>
      </c>
      <c r="E6" s="244"/>
      <c r="F6" s="244"/>
      <c r="G6" s="244"/>
      <c r="H6" s="244"/>
      <c r="I6" s="244"/>
      <c r="J6" s="245"/>
    </row>
    <row r="7" spans="1:45">
      <c r="B7" s="233" t="s">
        <v>115</v>
      </c>
      <c r="C7" s="234"/>
      <c r="D7" s="235" t="s">
        <v>1232</v>
      </c>
      <c r="E7" s="236"/>
      <c r="F7" s="236"/>
      <c r="G7" s="236"/>
      <c r="H7" s="236"/>
      <c r="I7" s="236"/>
      <c r="J7" s="237"/>
    </row>
    <row r="8" spans="1:45">
      <c r="B8" s="233" t="s">
        <v>116</v>
      </c>
      <c r="C8" s="234"/>
      <c r="D8" s="235" t="str">
        <f>エンティティ一覧!AE2&amp;"_"&amp;D5&amp;"_merge_receiptd_sy"</f>
        <v>sgioy_202310_backup_merge_receiptd_sy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69.599999999999994">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ENT_01_C3-16</v>
      </c>
      <c r="E6" s="244"/>
      <c r="F6" s="244"/>
      <c r="G6" s="244"/>
      <c r="H6" s="244"/>
      <c r="I6" s="244"/>
      <c r="J6" s="245"/>
    </row>
    <row r="7" spans="1:45">
      <c r="B7" s="233" t="s">
        <v>115</v>
      </c>
      <c r="C7" s="234"/>
      <c r="D7" s="235" t="s">
        <v>1234</v>
      </c>
      <c r="E7" s="236"/>
      <c r="F7" s="236"/>
      <c r="G7" s="236"/>
      <c r="H7" s="236"/>
      <c r="I7" s="236"/>
      <c r="J7" s="237"/>
    </row>
    <row r="8" spans="1:45">
      <c r="B8" s="233" t="s">
        <v>116</v>
      </c>
      <c r="C8" s="234"/>
      <c r="D8" s="235" t="str">
        <f>エンティティ一覧!AE2&amp;"_"&amp;D5&amp;"_merge_receiptd_si"</f>
        <v>sgioy_202310_backup_merge_receiptd_si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ENT_01_C3-17</v>
      </c>
      <c r="E6" s="244"/>
      <c r="F6" s="244"/>
      <c r="G6" s="244"/>
      <c r="H6" s="244"/>
      <c r="I6" s="244"/>
      <c r="J6" s="245"/>
    </row>
    <row r="7" spans="1:45">
      <c r="B7" s="233" t="s">
        <v>115</v>
      </c>
      <c r="C7" s="234"/>
      <c r="D7" s="235" t="s">
        <v>1236</v>
      </c>
      <c r="E7" s="236"/>
      <c r="F7" s="236"/>
      <c r="G7" s="236"/>
      <c r="H7" s="236"/>
      <c r="I7" s="236"/>
      <c r="J7" s="237"/>
    </row>
    <row r="8" spans="1:45">
      <c r="B8" s="233" t="s">
        <v>116</v>
      </c>
      <c r="C8" s="234"/>
      <c r="D8" s="235" t="str">
        <f>エンティティ一覧!AE2&amp;"_"&amp;D5&amp;"_merge_receiptd_si_day"</f>
        <v>sgioy_202310_backup_merge_receiptd_si_day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ENT_01_C3-18</v>
      </c>
      <c r="E6" s="244"/>
      <c r="F6" s="244"/>
      <c r="G6" s="244"/>
      <c r="H6" s="244"/>
      <c r="I6" s="244"/>
      <c r="J6" s="245"/>
    </row>
    <row r="7" spans="1:45">
      <c r="B7" s="233" t="s">
        <v>115</v>
      </c>
      <c r="C7" s="234"/>
      <c r="D7" s="235" t="s">
        <v>1239</v>
      </c>
      <c r="E7" s="236"/>
      <c r="F7" s="236"/>
      <c r="G7" s="236"/>
      <c r="H7" s="236"/>
      <c r="I7" s="236"/>
      <c r="J7" s="237"/>
    </row>
    <row r="8" spans="1:45">
      <c r="B8" s="233" t="s">
        <v>116</v>
      </c>
      <c r="C8" s="234"/>
      <c r="D8" s="235" t="str">
        <f>エンティティ一覧!AE2&amp;"_"&amp;D5&amp;"_merge_receiptd_iy"</f>
        <v>sgioy_202310_backup_merge_receiptd_iy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4.799999999999997">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ENT_01_C3-19</v>
      </c>
      <c r="E6" s="244"/>
      <c r="F6" s="244"/>
      <c r="G6" s="244"/>
      <c r="H6" s="244"/>
      <c r="I6" s="244"/>
      <c r="J6" s="245"/>
    </row>
    <row r="7" spans="1:45">
      <c r="B7" s="233" t="s">
        <v>115</v>
      </c>
      <c r="C7" s="234"/>
      <c r="D7" s="235" t="s">
        <v>1241</v>
      </c>
      <c r="E7" s="236"/>
      <c r="F7" s="236"/>
      <c r="G7" s="236"/>
      <c r="H7" s="236"/>
      <c r="I7" s="236"/>
      <c r="J7" s="237"/>
    </row>
    <row r="8" spans="1:45">
      <c r="B8" s="233" t="s">
        <v>116</v>
      </c>
      <c r="C8" s="234"/>
      <c r="D8" s="235" t="str">
        <f>エンティティ一覧!AE2&amp;"_"&amp;D5&amp;"_merge_receiptd_iy_day"</f>
        <v>sgioy_202310_backup_merge_receiptd_iy_day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ENT_01_C3-24</v>
      </c>
      <c r="E6" s="244"/>
      <c r="F6" s="244"/>
      <c r="G6" s="244"/>
      <c r="H6" s="244"/>
      <c r="I6" s="244"/>
      <c r="J6" s="245"/>
    </row>
    <row r="7" spans="1:45">
      <c r="B7" s="233" t="s">
        <v>115</v>
      </c>
      <c r="C7" s="234"/>
      <c r="D7" s="235" t="s">
        <v>1243</v>
      </c>
      <c r="E7" s="236"/>
      <c r="F7" s="236"/>
      <c r="G7" s="236"/>
      <c r="H7" s="236"/>
      <c r="I7" s="236"/>
      <c r="J7" s="237"/>
    </row>
    <row r="8" spans="1:45">
      <c r="B8" s="233" t="s">
        <v>116</v>
      </c>
      <c r="C8" s="234"/>
      <c r="D8" s="235" t="str">
        <f>エンティティ一覧!AE2&amp;"_"&amp;D5&amp;"_merge_receiptd_tr"</f>
        <v>sgioy_202310_backup_merge_receiptd_tr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0">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2.2">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87">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69.599999999999994">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0">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8"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ENT_01_C4-01</v>
      </c>
      <c r="E6" s="244"/>
      <c r="F6" s="244"/>
      <c r="G6" s="244"/>
      <c r="H6" s="244"/>
      <c r="I6" s="244"/>
      <c r="J6" s="245"/>
    </row>
    <row r="7" spans="1:45">
      <c r="B7" s="233" t="s">
        <v>115</v>
      </c>
      <c r="C7" s="234"/>
      <c r="D7" s="235" t="s">
        <v>1245</v>
      </c>
      <c r="E7" s="236"/>
      <c r="F7" s="236"/>
      <c r="G7" s="236"/>
      <c r="H7" s="236"/>
      <c r="I7" s="236"/>
      <c r="J7" s="237"/>
    </row>
    <row r="8" spans="1:45">
      <c r="B8" s="233" t="s">
        <v>116</v>
      </c>
      <c r="C8" s="234"/>
      <c r="D8" s="235" t="str">
        <f>エンティティ一覧!AE2&amp;"_"&amp;D5&amp;"_merge_mml_pi_master"</f>
        <v>sgioy_202310_backup_merge_mml_pi_master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2.2">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4.799999999999997">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4.799999999999997">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4.799999999999997">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4.799999999999997">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8"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ENT_01_C4-03</v>
      </c>
      <c r="E6" s="244"/>
      <c r="F6" s="244"/>
      <c r="G6" s="244"/>
      <c r="H6" s="244"/>
      <c r="I6" s="244"/>
      <c r="J6" s="245"/>
    </row>
    <row r="7" spans="1:45">
      <c r="B7" s="233" t="s">
        <v>115</v>
      </c>
      <c r="C7" s="234"/>
      <c r="D7" s="235" t="s">
        <v>1303</v>
      </c>
      <c r="E7" s="236"/>
      <c r="F7" s="236"/>
      <c r="G7" s="236"/>
      <c r="H7" s="236"/>
      <c r="I7" s="236"/>
      <c r="J7" s="237"/>
    </row>
    <row r="8" spans="1:45">
      <c r="B8" s="233" t="s">
        <v>116</v>
      </c>
      <c r="C8" s="234"/>
      <c r="D8" s="235" t="str">
        <f>エンティティ一覧!AE2&amp;"_"&amp;D5&amp;"_merge_mml_rd_register"</f>
        <v>sgioy_202310_backup_merge_mml_rd_register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ENT_01_C4-04</v>
      </c>
      <c r="E6" s="244"/>
      <c r="F6" s="244"/>
      <c r="G6" s="244"/>
      <c r="H6" s="244"/>
      <c r="I6" s="244"/>
      <c r="J6" s="245"/>
    </row>
    <row r="7" spans="1:45">
      <c r="B7" s="233" t="s">
        <v>115</v>
      </c>
      <c r="C7" s="234"/>
      <c r="D7" s="235" t="s">
        <v>1322</v>
      </c>
      <c r="E7" s="236"/>
      <c r="F7" s="236"/>
      <c r="G7" s="236"/>
      <c r="H7" s="236"/>
      <c r="I7" s="236"/>
      <c r="J7" s="237"/>
    </row>
    <row r="8" spans="1:45">
      <c r="B8" s="233" t="s">
        <v>116</v>
      </c>
      <c r="C8" s="234"/>
      <c r="D8" s="235" t="str">
        <f>エンティティ一覧!AE2&amp;"_"&amp;D5&amp;"_merge_mml_rd_byomei"</f>
        <v>sgioy_202310_backup_merge_mml_rd_byomei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ENT_01_C4-05</v>
      </c>
      <c r="E6" s="244"/>
      <c r="F6" s="244"/>
      <c r="G6" s="244"/>
      <c r="H6" s="244"/>
      <c r="I6" s="244"/>
      <c r="J6" s="245"/>
    </row>
    <row r="7" spans="1:45">
      <c r="B7" s="233" t="s">
        <v>115</v>
      </c>
      <c r="C7" s="234"/>
      <c r="D7" s="235" t="s">
        <v>1336</v>
      </c>
      <c r="E7" s="236"/>
      <c r="F7" s="236"/>
      <c r="G7" s="236"/>
      <c r="H7" s="236"/>
      <c r="I7" s="236"/>
      <c r="J7" s="237"/>
    </row>
    <row r="8" spans="1:45">
      <c r="B8" s="233" t="s">
        <v>116</v>
      </c>
      <c r="C8" s="234"/>
      <c r="D8" s="235" t="str">
        <f>エンティティ一覧!AE2&amp;"_"&amp;D5&amp;"_merge_mml_rd_category"</f>
        <v>sgioy_202310_backup_merge_mml_rd_category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87.6"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AZ43"/>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ENT_01_C4-06</v>
      </c>
      <c r="E6" s="244"/>
      <c r="F6" s="244"/>
      <c r="G6" s="244"/>
      <c r="H6" s="244"/>
      <c r="I6" s="244"/>
      <c r="J6" s="245"/>
    </row>
    <row r="7" spans="1:45">
      <c r="B7" s="233" t="s">
        <v>115</v>
      </c>
      <c r="C7" s="234"/>
      <c r="D7" s="235" t="s">
        <v>1347</v>
      </c>
      <c r="E7" s="236"/>
      <c r="F7" s="236"/>
      <c r="G7" s="236"/>
      <c r="H7" s="236"/>
      <c r="I7" s="236"/>
      <c r="J7" s="237"/>
    </row>
    <row r="8" spans="1:45">
      <c r="B8" s="233" t="s">
        <v>116</v>
      </c>
      <c r="C8" s="234"/>
      <c r="D8" s="235" t="str">
        <f>エンティティ一覧!AE2&amp;"_"&amp;D5&amp;"_merge_mml_pc_progress_course"</f>
        <v>sgioy_202310_backup_merge_mml_pc_progress_course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ENT_01_C4-07</v>
      </c>
      <c r="E6" s="244"/>
      <c r="F6" s="244"/>
      <c r="G6" s="244"/>
      <c r="H6" s="244"/>
      <c r="I6" s="244"/>
      <c r="J6" s="245"/>
    </row>
    <row r="7" spans="1:45">
      <c r="B7" s="233" t="s">
        <v>115</v>
      </c>
      <c r="C7" s="234"/>
      <c r="D7" s="235" t="s">
        <v>1355</v>
      </c>
      <c r="E7" s="236"/>
      <c r="F7" s="236"/>
      <c r="G7" s="236"/>
      <c r="H7" s="236"/>
      <c r="I7" s="236"/>
      <c r="J7" s="237"/>
    </row>
    <row r="8" spans="1:45">
      <c r="B8" s="233" t="s">
        <v>116</v>
      </c>
      <c r="C8" s="234"/>
      <c r="D8" s="235" t="str">
        <f>エンティティ一覧!AE2&amp;"_"&amp;D5&amp;"_merge_mml_pc_problem"</f>
        <v>sgioy_202310_backup_merge_mml_pc_problem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ENT_01_C4-08</v>
      </c>
      <c r="E6" s="244"/>
      <c r="F6" s="244"/>
      <c r="G6" s="244"/>
      <c r="H6" s="244"/>
      <c r="I6" s="244"/>
      <c r="J6" s="245"/>
    </row>
    <row r="7" spans="1:45">
      <c r="B7" s="233" t="s">
        <v>115</v>
      </c>
      <c r="C7" s="234"/>
      <c r="D7" s="235" t="s">
        <v>1393</v>
      </c>
      <c r="E7" s="236"/>
      <c r="F7" s="236"/>
      <c r="G7" s="236"/>
      <c r="H7" s="236"/>
      <c r="I7" s="236"/>
      <c r="J7" s="237"/>
    </row>
    <row r="8" spans="1:45">
      <c r="B8" s="233" t="s">
        <v>116</v>
      </c>
      <c r="C8" s="234"/>
      <c r="D8" s="235" t="str">
        <f>エンティティ一覧!AE2&amp;"_"&amp;D5&amp;"_merge_mml_pc_physical_exam"</f>
        <v>sgioy_202310_backup_merge_mml_pc_physical_exam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AZ45"/>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ENT_01_C4-15</v>
      </c>
      <c r="E6" s="244"/>
      <c r="F6" s="244"/>
      <c r="G6" s="244"/>
      <c r="H6" s="244"/>
      <c r="I6" s="244"/>
      <c r="J6" s="245"/>
    </row>
    <row r="7" spans="1:45">
      <c r="B7" s="233" t="s">
        <v>115</v>
      </c>
      <c r="C7" s="234"/>
      <c r="D7" s="235" t="s">
        <v>1407</v>
      </c>
      <c r="E7" s="236"/>
      <c r="F7" s="236"/>
      <c r="G7" s="236"/>
      <c r="H7" s="236"/>
      <c r="I7" s="236"/>
      <c r="J7" s="237"/>
    </row>
    <row r="8" spans="1:45">
      <c r="B8" s="233" t="s">
        <v>116</v>
      </c>
      <c r="C8" s="234"/>
      <c r="D8" s="235" t="str">
        <f>エンティティ一覧!AE2&amp;"_"&amp;D5&amp;"_merge_mml_pc_assessment"</f>
        <v>sgioy_202310_backup_merge_mml_pc_assessment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AZ49"/>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ENT_01_C4-22</v>
      </c>
      <c r="E6" s="244"/>
      <c r="F6" s="244"/>
      <c r="G6" s="244"/>
      <c r="H6" s="244"/>
      <c r="I6" s="244"/>
      <c r="J6" s="245"/>
    </row>
    <row r="7" spans="1:45">
      <c r="B7" s="233" t="s">
        <v>115</v>
      </c>
      <c r="C7" s="234"/>
      <c r="D7" s="235" t="s">
        <v>1415</v>
      </c>
      <c r="E7" s="236"/>
      <c r="F7" s="236"/>
      <c r="G7" s="236"/>
      <c r="H7" s="236"/>
      <c r="I7" s="236"/>
      <c r="J7" s="237"/>
    </row>
    <row r="8" spans="1:45">
      <c r="B8" s="233" t="s">
        <v>116</v>
      </c>
      <c r="C8" s="234"/>
      <c r="D8" s="235" t="str">
        <f>エンティティ一覧!AE2&amp;"_"&amp;D5&amp;"_merge_mml_pc_external_reference"</f>
        <v>sgioy_202310_backup_merge_mml_pc_external_reference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ENT_01_C4-23</v>
      </c>
      <c r="E6" s="244"/>
      <c r="F6" s="244"/>
      <c r="G6" s="244"/>
      <c r="H6" s="244"/>
      <c r="I6" s="244"/>
      <c r="J6" s="245"/>
    </row>
    <row r="7" spans="1:45">
      <c r="B7" s="233" t="s">
        <v>115</v>
      </c>
      <c r="C7" s="234"/>
      <c r="D7" s="235" t="s">
        <v>1438</v>
      </c>
      <c r="E7" s="236"/>
      <c r="F7" s="236"/>
      <c r="G7" s="236"/>
      <c r="H7" s="236"/>
      <c r="I7" s="236"/>
      <c r="J7" s="237"/>
    </row>
    <row r="8" spans="1:45">
      <c r="B8" s="233" t="s">
        <v>116</v>
      </c>
      <c r="C8" s="234"/>
      <c r="D8" s="235" t="str">
        <f>エンティティ一覧!AE2&amp;"_"&amp;D5&amp;"_merge_mml_sm_summary"</f>
        <v>sgioy_202310_backup_merge_mml_sm_summary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ENT_01_C4-24</v>
      </c>
      <c r="E6" s="244"/>
      <c r="F6" s="244"/>
      <c r="G6" s="244"/>
      <c r="H6" s="244"/>
      <c r="I6" s="244"/>
      <c r="J6" s="245"/>
    </row>
    <row r="7" spans="1:45">
      <c r="B7" s="233" t="s">
        <v>115</v>
      </c>
      <c r="C7" s="234"/>
      <c r="D7" s="235" t="s">
        <v>1480</v>
      </c>
      <c r="E7" s="236"/>
      <c r="F7" s="236"/>
      <c r="G7" s="236"/>
      <c r="H7" s="236"/>
      <c r="I7" s="236"/>
      <c r="J7" s="237"/>
    </row>
    <row r="8" spans="1:45">
      <c r="B8" s="233" t="s">
        <v>116</v>
      </c>
      <c r="C8" s="234"/>
      <c r="D8" s="235" t="str">
        <f>エンティティ一覧!AE2&amp;"_"&amp;D5&amp;"_merge_mml_sm_out_patient"</f>
        <v>sgioy_202310_backup_merge_mml_sm_out_patient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ENT_01_C4-25</v>
      </c>
      <c r="E6" s="244"/>
      <c r="F6" s="244"/>
      <c r="G6" s="244"/>
      <c r="H6" s="244"/>
      <c r="I6" s="244"/>
      <c r="J6" s="245"/>
    </row>
    <row r="7" spans="1:45">
      <c r="B7" s="233" t="s">
        <v>115</v>
      </c>
      <c r="C7" s="234"/>
      <c r="D7" s="235" t="s">
        <v>1497</v>
      </c>
      <c r="E7" s="236"/>
      <c r="F7" s="236"/>
      <c r="G7" s="236"/>
      <c r="H7" s="236"/>
      <c r="I7" s="236"/>
      <c r="J7" s="237"/>
    </row>
    <row r="8" spans="1:45">
      <c r="B8" s="233" t="s">
        <v>116</v>
      </c>
      <c r="C8" s="234"/>
      <c r="D8" s="235" t="str">
        <f>エンティティ一覧!AE2&amp;"_"&amp;D5&amp;"_merge_mml_sm_in_patient"</f>
        <v>sgioy_202310_backup_merge_mml_sm_in_patient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ENT_01_C4-29</v>
      </c>
      <c r="E6" s="244"/>
      <c r="F6" s="244"/>
      <c r="G6" s="244"/>
      <c r="H6" s="244"/>
      <c r="I6" s="244"/>
      <c r="J6" s="245"/>
    </row>
    <row r="7" spans="1:45">
      <c r="B7" s="233" t="s">
        <v>115</v>
      </c>
      <c r="C7" s="234"/>
      <c r="D7" s="235" t="s">
        <v>1523</v>
      </c>
      <c r="E7" s="236"/>
      <c r="F7" s="236"/>
      <c r="G7" s="236"/>
      <c r="H7" s="236"/>
      <c r="I7" s="236"/>
      <c r="J7" s="237"/>
    </row>
    <row r="8" spans="1:45">
      <c r="B8" s="233" t="s">
        <v>116</v>
      </c>
      <c r="C8" s="234"/>
      <c r="D8" s="235" t="str">
        <f>エンティティ一覧!AE2&amp;"_"&amp;D5&amp;"_merge_mml_sm_clinical_course"</f>
        <v>sgioy_202310_backup_merge_mml_sm_clinical_course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ENT_01_C4-30</v>
      </c>
      <c r="E6" s="244"/>
      <c r="F6" s="244"/>
      <c r="G6" s="244"/>
      <c r="H6" s="244"/>
      <c r="I6" s="244"/>
      <c r="J6" s="245"/>
    </row>
    <row r="7" spans="1:45">
      <c r="B7" s="233" t="s">
        <v>115</v>
      </c>
      <c r="C7" s="234"/>
      <c r="D7" s="235" t="s">
        <v>1538</v>
      </c>
      <c r="E7" s="236"/>
      <c r="F7" s="236"/>
      <c r="G7" s="236"/>
      <c r="H7" s="236"/>
      <c r="I7" s="236"/>
      <c r="J7" s="237"/>
    </row>
    <row r="8" spans="1:45">
      <c r="B8" s="233" t="s">
        <v>116</v>
      </c>
      <c r="C8" s="234"/>
      <c r="D8" s="235" t="str">
        <f>エンティティ一覧!AE2&amp;"_"&amp;D5&amp;"_merge_mml_sm_test_results"</f>
        <v>sgioy_202310_backup_merge_mml_sm_test_results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ENT_01_C4-31</v>
      </c>
      <c r="E6" s="244"/>
      <c r="F6" s="244"/>
      <c r="G6" s="244"/>
      <c r="H6" s="244"/>
      <c r="I6" s="244"/>
      <c r="J6" s="245"/>
    </row>
    <row r="7" spans="1:45">
      <c r="B7" s="233" t="s">
        <v>115</v>
      </c>
      <c r="C7" s="234"/>
      <c r="D7" s="235" t="s">
        <v>1547</v>
      </c>
      <c r="E7" s="236"/>
      <c r="F7" s="236"/>
      <c r="G7" s="236"/>
      <c r="H7" s="236"/>
      <c r="I7" s="236"/>
      <c r="J7" s="237"/>
    </row>
    <row r="8" spans="1:45">
      <c r="B8" s="233" t="s">
        <v>116</v>
      </c>
      <c r="C8" s="234"/>
      <c r="D8" s="235" t="str">
        <f>エンティティ一覧!AE2&amp;"_"&amp;D5&amp;"_merge_mml_lb_test"</f>
        <v>sgioy_202310_backup_merge_mml_lb_test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69.599999999999994">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4.799999999999997">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4.799999999999997">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ENT_01_C4-33</v>
      </c>
      <c r="E6" s="244"/>
      <c r="F6" s="244"/>
      <c r="G6" s="244"/>
      <c r="H6" s="244"/>
      <c r="I6" s="244"/>
      <c r="J6" s="245"/>
    </row>
    <row r="7" spans="1:45">
      <c r="B7" s="233" t="s">
        <v>115</v>
      </c>
      <c r="C7" s="234"/>
      <c r="D7" s="235" t="s">
        <v>1605</v>
      </c>
      <c r="E7" s="236"/>
      <c r="F7" s="236"/>
      <c r="G7" s="236"/>
      <c r="H7" s="236"/>
      <c r="I7" s="236"/>
      <c r="J7" s="237"/>
    </row>
    <row r="8" spans="1:45">
      <c r="B8" s="233" t="s">
        <v>116</v>
      </c>
      <c r="C8" s="234"/>
      <c r="D8" s="235" t="str">
        <f>エンティティ一覧!AE2&amp;"_"&amp;D5&amp;"_merge_mml_lb_specimen"</f>
        <v>sgioy_202310_backup_merge_mml_lb_specimen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ENT_01_C4-35</v>
      </c>
      <c r="E6" s="244"/>
      <c r="F6" s="244"/>
      <c r="G6" s="244"/>
      <c r="H6" s="244"/>
      <c r="I6" s="244"/>
      <c r="J6" s="245"/>
    </row>
    <row r="7" spans="1:45">
      <c r="B7" s="233" t="s">
        <v>115</v>
      </c>
      <c r="C7" s="234"/>
      <c r="D7" s="235" t="s">
        <v>1624</v>
      </c>
      <c r="E7" s="236"/>
      <c r="F7" s="236"/>
      <c r="G7" s="236"/>
      <c r="H7" s="236"/>
      <c r="I7" s="236"/>
      <c r="J7" s="237"/>
    </row>
    <row r="8" spans="1:45">
      <c r="B8" s="233" t="s">
        <v>116</v>
      </c>
      <c r="C8" s="234"/>
      <c r="D8" s="235" t="str">
        <f>エンティティ一覧!AE2&amp;"_"&amp;D5&amp;"_merge_mml_lb_item"</f>
        <v>sgioy_202310_backup_merge_mml_lb_item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2.2">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ENT_01_C4-37</v>
      </c>
      <c r="E6" s="244"/>
      <c r="F6" s="244"/>
      <c r="G6" s="244"/>
      <c r="H6" s="244"/>
      <c r="I6" s="244"/>
      <c r="J6" s="245"/>
    </row>
    <row r="7" spans="1:45">
      <c r="B7" s="233" t="s">
        <v>115</v>
      </c>
      <c r="C7" s="234"/>
      <c r="D7" s="235" t="s">
        <v>1682</v>
      </c>
      <c r="E7" s="236"/>
      <c r="F7" s="236"/>
      <c r="G7" s="236"/>
      <c r="H7" s="236"/>
      <c r="I7" s="236"/>
      <c r="J7" s="237"/>
    </row>
    <row r="8" spans="1:45">
      <c r="B8" s="233" t="s">
        <v>116</v>
      </c>
      <c r="C8" s="234"/>
      <c r="D8" s="235" t="str">
        <f>エンティティ一覧!AE2&amp;"_"&amp;D5&amp;"_merge_mml_vs_vitalsign"</f>
        <v>sgioy_202310_backup_merge_mml_vs_vitalsign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4.799999999999997">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4.799999999999997">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4.799999999999997">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4.799999999999997">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0">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8"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ENT_01_C4-38</v>
      </c>
      <c r="E6" s="244"/>
      <c r="F6" s="244"/>
      <c r="G6" s="244"/>
      <c r="H6" s="244"/>
      <c r="I6" s="244"/>
      <c r="J6" s="245"/>
    </row>
    <row r="7" spans="1:45">
      <c r="B7" s="233" t="s">
        <v>115</v>
      </c>
      <c r="C7" s="234"/>
      <c r="D7" s="235" t="s">
        <v>1719</v>
      </c>
      <c r="E7" s="236"/>
      <c r="F7" s="236"/>
      <c r="G7" s="236"/>
      <c r="H7" s="236"/>
      <c r="I7" s="236"/>
      <c r="J7" s="237"/>
    </row>
    <row r="8" spans="1:45">
      <c r="B8" s="233" t="s">
        <v>116</v>
      </c>
      <c r="C8" s="234"/>
      <c r="D8" s="235" t="str">
        <f>エンティティ一覧!AE2&amp;"_"&amp;D5&amp;"_merge_mml_vs_item"</f>
        <v>sgioy_202310_backup_merge_mml_vs_item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4.799999999999997">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0">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ht="30">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5.4"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ENT_01_C4-40</v>
      </c>
      <c r="E6" s="244"/>
      <c r="F6" s="244"/>
      <c r="G6" s="244"/>
      <c r="H6" s="244"/>
      <c r="I6" s="244"/>
      <c r="J6" s="245"/>
    </row>
    <row r="7" spans="1:45">
      <c r="B7" s="233" t="s">
        <v>115</v>
      </c>
      <c r="C7" s="234"/>
      <c r="D7" s="235" t="s">
        <v>1733</v>
      </c>
      <c r="E7" s="236"/>
      <c r="F7" s="236"/>
      <c r="G7" s="236"/>
      <c r="H7" s="236"/>
      <c r="I7" s="236"/>
      <c r="J7" s="237"/>
    </row>
    <row r="8" spans="1:45">
      <c r="B8" s="233" t="s">
        <v>116</v>
      </c>
      <c r="C8" s="234"/>
      <c r="D8" s="235" t="str">
        <f>エンティティ一覧!AE2&amp;"_"&amp;D5&amp;"_merge_mml_fs_vitalsign"</f>
        <v>sgioy_202310_backup_merge_mml_fs_vitalsign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4.799999999999997">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4.799999999999997">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4.799999999999997">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0">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8"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01</v>
      </c>
      <c r="E4" s="220"/>
      <c r="F4" s="220"/>
      <c r="G4" s="220"/>
      <c r="H4" s="220"/>
      <c r="I4" s="220"/>
      <c r="J4" s="221"/>
    </row>
    <row r="5" spans="1:45">
      <c r="B5" s="233" t="s">
        <v>3719</v>
      </c>
      <c r="C5" s="234"/>
      <c r="D5" s="243" t="str">
        <f>VLOOKUP(D7,エンティティ一覧!A1:'エンティティ一覧'!AM10179,7,FALSE)</f>
        <v>backup</v>
      </c>
      <c r="E5" s="244"/>
      <c r="F5" s="244"/>
      <c r="G5" s="244"/>
      <c r="H5" s="244"/>
      <c r="I5" s="244"/>
      <c r="J5" s="245"/>
    </row>
    <row r="6" spans="1:45">
      <c r="B6" s="233" t="s">
        <v>3720</v>
      </c>
      <c r="C6" s="234"/>
      <c r="D6" s="243" t="str">
        <f>VLOOKUP(D7,エンティティ一覧!A1:'エンティティ一覧'!AM10179,15,FALSE)</f>
        <v>ENT_01_C4-41</v>
      </c>
      <c r="E6" s="244"/>
      <c r="F6" s="244"/>
      <c r="G6" s="244"/>
      <c r="H6" s="244"/>
      <c r="I6" s="244"/>
      <c r="J6" s="245"/>
    </row>
    <row r="7" spans="1:45">
      <c r="B7" s="233" t="s">
        <v>115</v>
      </c>
      <c r="C7" s="234"/>
      <c r="D7" s="235" t="s">
        <v>1737</v>
      </c>
      <c r="E7" s="236"/>
      <c r="F7" s="236"/>
      <c r="G7" s="236"/>
      <c r="H7" s="236"/>
      <c r="I7" s="236"/>
      <c r="J7" s="237"/>
    </row>
    <row r="8" spans="1:45">
      <c r="B8" s="233" t="s">
        <v>116</v>
      </c>
      <c r="C8" s="234"/>
      <c r="D8" s="235" t="str">
        <f>エンティティ一覧!AE2&amp;"_"&amp;D5&amp;"_merge_mml_fs_item"</f>
        <v>sgioy_202310_backup_merge_mml_fs_item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0">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ht="30">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8"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11</v>
      </c>
      <c r="E4" s="220"/>
      <c r="F4" s="220"/>
      <c r="G4" s="220"/>
      <c r="H4" s="220"/>
      <c r="I4" s="220"/>
      <c r="J4" s="221"/>
    </row>
    <row r="5" spans="1:45">
      <c r="B5" s="233" t="s">
        <v>3719</v>
      </c>
      <c r="C5" s="234"/>
      <c r="D5" s="243" t="str">
        <f>VLOOKUP(D7,エンティティ一覧!A1:'エンティティ一覧'!AM10179,7,FALSE)</f>
        <v>enroll</v>
      </c>
      <c r="E5" s="244"/>
      <c r="F5" s="244"/>
      <c r="G5" s="244"/>
      <c r="H5" s="244"/>
      <c r="I5" s="244"/>
      <c r="J5" s="245"/>
    </row>
    <row r="6" spans="1:45">
      <c r="B6" s="233" t="s">
        <v>3720</v>
      </c>
      <c r="C6" s="234"/>
      <c r="D6" s="243" t="str">
        <f>VLOOKUP(D7,エンティティ一覧!A1:'エンティティ一覧'!AM10179,15,FALSE)</f>
        <v>ENT_11_01</v>
      </c>
      <c r="E6" s="244"/>
      <c r="F6" s="244"/>
      <c r="G6" s="244"/>
      <c r="H6" s="244"/>
      <c r="I6" s="244"/>
      <c r="J6" s="245"/>
    </row>
    <row r="7" spans="1:45">
      <c r="B7" s="233" t="s">
        <v>115</v>
      </c>
      <c r="C7" s="234"/>
      <c r="D7" s="235" t="s">
        <v>3795</v>
      </c>
      <c r="E7" s="236"/>
      <c r="F7" s="236"/>
      <c r="G7" s="236"/>
      <c r="H7" s="236"/>
      <c r="I7" s="236"/>
      <c r="J7" s="237"/>
    </row>
    <row r="8" spans="1:45">
      <c r="B8" s="233" t="s">
        <v>116</v>
      </c>
      <c r="C8" s="234"/>
      <c r="D8" s="235" t="str">
        <f>エンティティ一覧!AE2&amp;"_"&amp;D5&amp;"_shisetsu"</f>
        <v>sgioy_202310_enroll_shisetsu</v>
      </c>
      <c r="E8" s="236"/>
      <c r="F8" s="236"/>
      <c r="G8" s="236"/>
      <c r="H8" s="236"/>
      <c r="I8" s="236"/>
      <c r="J8" s="237"/>
    </row>
    <row r="9" spans="1:45" ht="19.5" customHeight="1" thickBot="1">
      <c r="B9" s="238" t="s">
        <v>117</v>
      </c>
      <c r="C9" s="239"/>
      <c r="D9" s="240" t="s">
        <v>3798</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3803</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3804</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3799</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3800</v>
      </c>
      <c r="D16" s="6" t="s">
        <v>2415</v>
      </c>
      <c r="E16" s="8"/>
      <c r="F16" s="7" t="s">
        <v>3804</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3801</v>
      </c>
      <c r="D17" s="6" t="s">
        <v>2417</v>
      </c>
      <c r="E17" s="8"/>
      <c r="F17" s="7" t="s">
        <v>3804</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8" thickBot="1">
      <c r="A18" s="4"/>
      <c r="B18" s="68">
        <f t="shared" si="4"/>
        <v>6</v>
      </c>
      <c r="C18" s="69" t="s">
        <v>3802</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11</v>
      </c>
      <c r="E4" s="220"/>
      <c r="F4" s="220"/>
      <c r="G4" s="220"/>
      <c r="H4" s="220"/>
      <c r="I4" s="220"/>
      <c r="J4" s="221"/>
    </row>
    <row r="5" spans="1:45">
      <c r="B5" s="233" t="s">
        <v>3719</v>
      </c>
      <c r="C5" s="234"/>
      <c r="D5" s="243" t="str">
        <f>VLOOKUP(D7,エンティティ一覧!A1:'エンティティ一覧'!AM10179,7,FALSE)</f>
        <v>enroll</v>
      </c>
      <c r="E5" s="244"/>
      <c r="F5" s="244"/>
      <c r="G5" s="244"/>
      <c r="H5" s="244"/>
      <c r="I5" s="244"/>
      <c r="J5" s="245"/>
    </row>
    <row r="6" spans="1:45">
      <c r="B6" s="233" t="s">
        <v>3720</v>
      </c>
      <c r="C6" s="234"/>
      <c r="D6" s="243" t="str">
        <f>VLOOKUP(D7,エンティティ一覧!A1:'エンティティ一覧'!AM10179,15,FALSE)</f>
        <v>ENT_11_02</v>
      </c>
      <c r="E6" s="244"/>
      <c r="F6" s="244"/>
      <c r="G6" s="244"/>
      <c r="H6" s="244"/>
      <c r="I6" s="244"/>
      <c r="J6" s="245"/>
    </row>
    <row r="7" spans="1:45">
      <c r="B7" s="233" t="s">
        <v>115</v>
      </c>
      <c r="C7" s="234"/>
      <c r="D7" s="235" t="s">
        <v>3796</v>
      </c>
      <c r="E7" s="236"/>
      <c r="F7" s="236"/>
      <c r="G7" s="236"/>
      <c r="H7" s="236"/>
      <c r="I7" s="236"/>
      <c r="J7" s="237"/>
    </row>
    <row r="8" spans="1:45">
      <c r="B8" s="233" t="s">
        <v>116</v>
      </c>
      <c r="C8" s="234"/>
      <c r="D8" s="235" t="str">
        <f>エンティティ一覧!AE2&amp;"_"&amp;D5&amp;"_shikkan"</f>
        <v>sgioy_202310_enroll_shikkan</v>
      </c>
      <c r="E8" s="236"/>
      <c r="F8" s="236"/>
      <c r="G8" s="236"/>
      <c r="H8" s="236"/>
      <c r="I8" s="236"/>
      <c r="J8" s="237"/>
    </row>
    <row r="9" spans="1:45" ht="19.5" customHeight="1" thickBot="1">
      <c r="B9" s="238" t="s">
        <v>117</v>
      </c>
      <c r="C9" s="239"/>
      <c r="D9" s="240" t="s">
        <v>3806</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8"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11</v>
      </c>
      <c r="E4" s="220"/>
      <c r="F4" s="220"/>
      <c r="G4" s="220"/>
      <c r="H4" s="220"/>
      <c r="I4" s="220"/>
      <c r="J4" s="221"/>
    </row>
    <row r="5" spans="1:52">
      <c r="B5" s="233" t="s">
        <v>3719</v>
      </c>
      <c r="C5" s="234"/>
      <c r="D5" s="243" t="str">
        <f>VLOOKUP(D7,エンティティ一覧!A1:'エンティティ一覧'!AM10179,7,FALSE)</f>
        <v>enroll</v>
      </c>
      <c r="E5" s="244"/>
      <c r="F5" s="244"/>
      <c r="G5" s="244"/>
      <c r="H5" s="244"/>
      <c r="I5" s="244"/>
      <c r="J5" s="245"/>
    </row>
    <row r="6" spans="1:52">
      <c r="B6" s="233" t="s">
        <v>3720</v>
      </c>
      <c r="C6" s="234"/>
      <c r="D6" s="243" t="str">
        <f>VLOOKUP(D7,エンティティ一覧!A1:'エンティティ一覧'!AM10179,15,FALSE)</f>
        <v>ENT_11_03</v>
      </c>
      <c r="E6" s="244"/>
      <c r="F6" s="244"/>
      <c r="G6" s="244"/>
      <c r="H6" s="244"/>
      <c r="I6" s="244"/>
      <c r="J6" s="245"/>
    </row>
    <row r="7" spans="1:52">
      <c r="B7" s="233" t="s">
        <v>115</v>
      </c>
      <c r="C7" s="234"/>
      <c r="D7" s="235" t="s">
        <v>3805</v>
      </c>
      <c r="E7" s="236"/>
      <c r="F7" s="236"/>
      <c r="G7" s="236"/>
      <c r="H7" s="236"/>
      <c r="I7" s="236"/>
      <c r="J7" s="237"/>
    </row>
    <row r="8" spans="1:52">
      <c r="B8" s="233" t="s">
        <v>116</v>
      </c>
      <c r="C8" s="234"/>
      <c r="D8" s="235" t="str">
        <f>エンティティ一覧!AE2&amp;"_"&amp;D5&amp;"_shoho"</f>
        <v>sgioy_202310_enroll_shoho</v>
      </c>
      <c r="E8" s="236"/>
      <c r="F8" s="236"/>
      <c r="G8" s="236"/>
      <c r="H8" s="236"/>
      <c r="I8" s="236"/>
      <c r="J8" s="237"/>
    </row>
    <row r="9" spans="1:52" ht="19.5" customHeight="1" thickBot="1">
      <c r="B9" s="238" t="s">
        <v>117</v>
      </c>
      <c r="C9" s="239"/>
      <c r="D9" s="240" t="s">
        <v>891</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8"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11</v>
      </c>
      <c r="E4" s="220"/>
      <c r="F4" s="220"/>
      <c r="G4" s="220"/>
      <c r="H4" s="220"/>
      <c r="I4" s="220"/>
      <c r="J4" s="221"/>
    </row>
    <row r="5" spans="1:52">
      <c r="B5" s="233" t="s">
        <v>3719</v>
      </c>
      <c r="C5" s="234"/>
      <c r="D5" s="243" t="str">
        <f>VLOOKUP(D7,エンティティ一覧!A1:'エンティティ一覧'!AM10179,7,FALSE)</f>
        <v>enroll</v>
      </c>
      <c r="E5" s="244"/>
      <c r="F5" s="244"/>
      <c r="G5" s="244"/>
      <c r="H5" s="244"/>
      <c r="I5" s="244"/>
      <c r="J5" s="245"/>
    </row>
    <row r="6" spans="1:52">
      <c r="B6" s="233" t="s">
        <v>3720</v>
      </c>
      <c r="C6" s="234"/>
      <c r="D6" s="243" t="str">
        <f>VLOOKUP(D7,エンティティ一覧!A1:'エンティティ一覧'!AM10179,15,FALSE)</f>
        <v>ENT_11_04</v>
      </c>
      <c r="E6" s="244"/>
      <c r="F6" s="244"/>
      <c r="G6" s="244"/>
      <c r="H6" s="244"/>
      <c r="I6" s="244"/>
      <c r="J6" s="245"/>
    </row>
    <row r="7" spans="1:52">
      <c r="B7" s="233" t="s">
        <v>115</v>
      </c>
      <c r="C7" s="234"/>
      <c r="D7" s="235" t="s">
        <v>303</v>
      </c>
      <c r="E7" s="236"/>
      <c r="F7" s="236"/>
      <c r="G7" s="236"/>
      <c r="H7" s="236"/>
      <c r="I7" s="236"/>
      <c r="J7" s="237"/>
    </row>
    <row r="8" spans="1:52">
      <c r="B8" s="233" t="s">
        <v>116</v>
      </c>
      <c r="C8" s="234"/>
      <c r="D8" s="235" t="str">
        <f>エンティティ一覧!AE2&amp;"_"&amp;D5&amp;"_kanja"</f>
        <v>sgioy_202310_enroll_kanja</v>
      </c>
      <c r="E8" s="236"/>
      <c r="F8" s="236"/>
      <c r="G8" s="236"/>
      <c r="H8" s="236"/>
      <c r="I8" s="236"/>
      <c r="J8" s="237"/>
    </row>
    <row r="9" spans="1:52" ht="19.5" customHeight="1" thickBot="1">
      <c r="B9" s="238" t="s">
        <v>117</v>
      </c>
      <c r="C9" s="239"/>
      <c r="D9" s="240" t="s">
        <v>3809</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8" thickBot="1">
      <c r="A14" s="4"/>
      <c r="B14" s="64">
        <f t="shared" ref="B14" si="2">ROW()-12</f>
        <v>2</v>
      </c>
      <c r="C14" s="28" t="s">
        <v>319</v>
      </c>
      <c r="D14" s="28" t="s">
        <v>3824</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21</v>
      </c>
      <c r="E4" s="220"/>
      <c r="F4" s="220"/>
      <c r="G4" s="220"/>
      <c r="H4" s="220"/>
      <c r="I4" s="220"/>
      <c r="J4" s="221"/>
    </row>
    <row r="5" spans="1:45">
      <c r="B5" s="233" t="s">
        <v>3719</v>
      </c>
      <c r="C5" s="234"/>
      <c r="D5" s="243" t="str">
        <f>VLOOKUP(D7,エンティティ一覧!A1:'エンティティ一覧'!AM10179,7,FALSE)</f>
        <v>mt</v>
      </c>
      <c r="E5" s="244"/>
      <c r="F5" s="244"/>
      <c r="G5" s="244"/>
      <c r="H5" s="244"/>
      <c r="I5" s="244"/>
      <c r="J5" s="245"/>
    </row>
    <row r="6" spans="1:45">
      <c r="B6" s="233" t="s">
        <v>3720</v>
      </c>
      <c r="C6" s="234"/>
      <c r="D6" s="243" t="str">
        <f>VLOOKUP(D7,エンティティ一覧!A1:'エンティティ一覧'!AM10179,15,FALSE)</f>
        <v>ENT_21_01</v>
      </c>
      <c r="E6" s="244"/>
      <c r="F6" s="244"/>
      <c r="G6" s="244"/>
      <c r="H6" s="244"/>
      <c r="I6" s="244"/>
      <c r="J6" s="245"/>
    </row>
    <row r="7" spans="1:45">
      <c r="B7" s="233" t="s">
        <v>115</v>
      </c>
      <c r="C7" s="234"/>
      <c r="D7" s="235" t="s">
        <v>3811</v>
      </c>
      <c r="E7" s="236"/>
      <c r="F7" s="236"/>
      <c r="G7" s="236"/>
      <c r="H7" s="236"/>
      <c r="I7" s="236"/>
      <c r="J7" s="237"/>
    </row>
    <row r="8" spans="1:45">
      <c r="B8" s="233" t="s">
        <v>116</v>
      </c>
      <c r="C8" s="234"/>
      <c r="D8" s="235" t="str">
        <f>エンティティ一覧!AE2&amp;"_"&amp;D5&amp;"_kanja_id_list"</f>
        <v>sgioy_202310_mt_kanja_id_list</v>
      </c>
      <c r="E8" s="236"/>
      <c r="F8" s="236"/>
      <c r="G8" s="236"/>
      <c r="H8" s="236"/>
      <c r="I8" s="236"/>
      <c r="J8" s="237"/>
    </row>
    <row r="9" spans="1:45" ht="19.5" customHeight="1" thickBot="1">
      <c r="B9" s="238" t="s">
        <v>117</v>
      </c>
      <c r="C9" s="239"/>
      <c r="D9" s="240" t="s">
        <v>3826</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8"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dimension ref="A1:AZ56"/>
  <sheetViews>
    <sheetView showGridLines="0" zoomScale="85" zoomScaleNormal="85" workbookViewId="0">
      <selection activeCell="C15" sqref="C15:D15"/>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21</v>
      </c>
      <c r="E4" s="220"/>
      <c r="F4" s="220"/>
      <c r="G4" s="220"/>
      <c r="H4" s="220"/>
      <c r="I4" s="220"/>
      <c r="J4" s="221"/>
    </row>
    <row r="5" spans="1:45">
      <c r="B5" s="233" t="s">
        <v>3719</v>
      </c>
      <c r="C5" s="234"/>
      <c r="D5" s="243" t="str">
        <f>VLOOKUP(D7,エンティティ一覧!A1:'エンティティ一覧'!AM10179,7,FALSE)</f>
        <v>mt</v>
      </c>
      <c r="E5" s="244"/>
      <c r="F5" s="244"/>
      <c r="G5" s="244"/>
      <c r="H5" s="244"/>
      <c r="I5" s="244"/>
      <c r="J5" s="245"/>
    </row>
    <row r="6" spans="1:45">
      <c r="B6" s="233" t="s">
        <v>3720</v>
      </c>
      <c r="C6" s="234"/>
      <c r="D6" s="243" t="str">
        <f>VLOOKUP(D7,エンティティ一覧!A1:'エンティティ一覧'!AM10179,15,FALSE)</f>
        <v>ENT_21_02</v>
      </c>
      <c r="E6" s="244"/>
      <c r="F6" s="244"/>
      <c r="G6" s="244"/>
      <c r="H6" s="244"/>
      <c r="I6" s="244"/>
      <c r="J6" s="245"/>
    </row>
    <row r="7" spans="1:45">
      <c r="B7" s="233" t="s">
        <v>115</v>
      </c>
      <c r="C7" s="234"/>
      <c r="D7" s="235" t="s">
        <v>3812</v>
      </c>
      <c r="E7" s="236"/>
      <c r="F7" s="236"/>
      <c r="G7" s="236"/>
      <c r="H7" s="236"/>
      <c r="I7" s="236"/>
      <c r="J7" s="237"/>
    </row>
    <row r="8" spans="1:45">
      <c r="B8" s="233" t="s">
        <v>116</v>
      </c>
      <c r="C8" s="234"/>
      <c r="D8" s="235" t="str">
        <f>エンティティ一覧!AE2&amp;"_"&amp;D5&amp;"_shisetsu"</f>
        <v>sgioy_202310_mt_shisetsu</v>
      </c>
      <c r="E8" s="236"/>
      <c r="F8" s="236"/>
      <c r="G8" s="236"/>
      <c r="H8" s="236"/>
      <c r="I8" s="236"/>
      <c r="J8" s="237"/>
    </row>
    <row r="9" spans="1:45" ht="19.5" customHeight="1" thickBot="1">
      <c r="B9" s="238" t="s">
        <v>117</v>
      </c>
      <c r="C9" s="239"/>
      <c r="D9" s="240" t="s">
        <v>3828</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ht="34.799999999999997">
      <c r="A13" s="4"/>
      <c r="B13" s="21">
        <f>ROW()-12</f>
        <v>1</v>
      </c>
      <c r="C13" s="13" t="s">
        <v>3816</v>
      </c>
      <c r="D13" s="13" t="s">
        <v>3817</v>
      </c>
      <c r="E13" s="7" t="s">
        <v>127</v>
      </c>
      <c r="F13" s="7" t="s">
        <v>3803</v>
      </c>
      <c r="G13" s="7" t="str">
        <f>IF(F13="フラグ","boolean",IF(F13="文字列","text",IF(F13="整数","integer",IF(F13="実数","numeric",""))))</f>
        <v>text</v>
      </c>
      <c r="H13" s="9"/>
      <c r="I13" s="10" t="s">
        <v>127</v>
      </c>
      <c r="J13" s="24" t="s">
        <v>3818</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3803</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3804</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3799</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3800</v>
      </c>
      <c r="D17" s="6" t="s">
        <v>2415</v>
      </c>
      <c r="E17" s="8"/>
      <c r="F17" s="7" t="s">
        <v>3804</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3801</v>
      </c>
      <c r="D18" s="6" t="s">
        <v>2417</v>
      </c>
      <c r="E18" s="8"/>
      <c r="F18" s="7" t="s">
        <v>3804</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8" thickBot="1">
      <c r="A19" s="4"/>
      <c r="B19" s="68">
        <f t="shared" si="8"/>
        <v>7</v>
      </c>
      <c r="C19" s="69" t="s">
        <v>3802</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21</v>
      </c>
      <c r="E4" s="220"/>
      <c r="F4" s="220"/>
      <c r="G4" s="220"/>
      <c r="H4" s="220"/>
      <c r="I4" s="220"/>
      <c r="J4" s="221"/>
    </row>
    <row r="5" spans="1:45">
      <c r="B5" s="233" t="s">
        <v>3719</v>
      </c>
      <c r="C5" s="234"/>
      <c r="D5" s="243" t="str">
        <f>VLOOKUP(D7,エンティティ一覧!A1:'エンティティ一覧'!AM10179,7,FALSE)</f>
        <v>mt</v>
      </c>
      <c r="E5" s="244"/>
      <c r="F5" s="244"/>
      <c r="G5" s="244"/>
      <c r="H5" s="244"/>
      <c r="I5" s="244"/>
      <c r="J5" s="245"/>
    </row>
    <row r="6" spans="1:45">
      <c r="B6" s="233" t="s">
        <v>3720</v>
      </c>
      <c r="C6" s="234"/>
      <c r="D6" s="243" t="str">
        <f>VLOOKUP(D7,エンティティ一覧!A1:'エンティティ一覧'!AM10179,15,FALSE)</f>
        <v>ENT_21_03</v>
      </c>
      <c r="E6" s="244"/>
      <c r="F6" s="244"/>
      <c r="G6" s="244"/>
      <c r="H6" s="244"/>
      <c r="I6" s="244"/>
      <c r="J6" s="245"/>
    </row>
    <row r="7" spans="1:45">
      <c r="B7" s="233" t="s">
        <v>115</v>
      </c>
      <c r="C7" s="234"/>
      <c r="D7" s="235" t="s">
        <v>305</v>
      </c>
      <c r="E7" s="236"/>
      <c r="F7" s="236"/>
      <c r="G7" s="236"/>
      <c r="H7" s="236"/>
      <c r="I7" s="236"/>
      <c r="J7" s="237"/>
    </row>
    <row r="8" spans="1:45">
      <c r="B8" s="233" t="s">
        <v>116</v>
      </c>
      <c r="C8" s="234"/>
      <c r="D8" s="235" t="str">
        <f>エンティティ一覧!AE2&amp;"_"&amp;D5&amp;"_kanja"</f>
        <v>sgioy_202310_mt_kanja</v>
      </c>
      <c r="E8" s="236"/>
      <c r="F8" s="236"/>
      <c r="G8" s="236"/>
      <c r="H8" s="236"/>
      <c r="I8" s="236"/>
      <c r="J8" s="237"/>
    </row>
    <row r="9" spans="1:45" ht="19.5" customHeight="1" thickBot="1">
      <c r="B9" s="238" t="s">
        <v>117</v>
      </c>
      <c r="C9" s="239"/>
      <c r="D9" s="240" t="s">
        <v>3827</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4.799999999999997">
      <c r="A13" s="4"/>
      <c r="B13" s="21">
        <f>ROW()-12</f>
        <v>1</v>
      </c>
      <c r="C13" s="13" t="s">
        <v>3813</v>
      </c>
      <c r="D13" s="13" t="s">
        <v>3814</v>
      </c>
      <c r="E13" s="7" t="s">
        <v>127</v>
      </c>
      <c r="F13" s="7" t="s">
        <v>316</v>
      </c>
      <c r="G13" s="7" t="str">
        <f>IF(F13="フラグ","boolean",IF(F13="文字列","text",IF(F13="整数","integer",IF(F13="実数","numeric",""))))</f>
        <v>text</v>
      </c>
      <c r="H13" s="9"/>
      <c r="I13" s="10" t="s">
        <v>127</v>
      </c>
      <c r="J13" s="24" t="s">
        <v>3820</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3815</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3819</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8"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21</v>
      </c>
      <c r="E4" s="220"/>
      <c r="F4" s="220"/>
      <c r="G4" s="220"/>
      <c r="H4" s="220"/>
      <c r="I4" s="220"/>
      <c r="J4" s="221"/>
    </row>
    <row r="5" spans="1:45">
      <c r="B5" s="233" t="s">
        <v>3719</v>
      </c>
      <c r="C5" s="234"/>
      <c r="D5" s="243" t="str">
        <f>VLOOKUP(D7,エンティティ一覧!A1:'エンティティ一覧'!AM10179,7,FALSE)</f>
        <v>mt</v>
      </c>
      <c r="E5" s="244"/>
      <c r="F5" s="244"/>
      <c r="G5" s="244"/>
      <c r="H5" s="244"/>
      <c r="I5" s="244"/>
      <c r="J5" s="245"/>
    </row>
    <row r="6" spans="1:45">
      <c r="B6" s="233" t="s">
        <v>3720</v>
      </c>
      <c r="C6" s="234"/>
      <c r="D6" s="243" t="str">
        <f>VLOOKUP(D7,エンティティ一覧!A1:'エンティティ一覧'!AM10179,15,FALSE)</f>
        <v>ENT_21_04</v>
      </c>
      <c r="E6" s="244"/>
      <c r="F6" s="244"/>
      <c r="G6" s="244"/>
      <c r="H6" s="244"/>
      <c r="I6" s="244"/>
      <c r="J6" s="245"/>
    </row>
    <row r="7" spans="1:45">
      <c r="B7" s="233" t="s">
        <v>115</v>
      </c>
      <c r="C7" s="234"/>
      <c r="D7" s="235" t="s">
        <v>306</v>
      </c>
      <c r="E7" s="236"/>
      <c r="F7" s="236"/>
      <c r="G7" s="236"/>
      <c r="H7" s="236"/>
      <c r="I7" s="236"/>
      <c r="J7" s="237"/>
    </row>
    <row r="8" spans="1:45">
      <c r="B8" s="233" t="s">
        <v>116</v>
      </c>
      <c r="C8" s="234"/>
      <c r="D8" s="235" t="str">
        <f>エンティティ一覧!AE2&amp;"_"&amp;D5&amp;"_shikkan"</f>
        <v>sgioy_202310_mt_shikkan</v>
      </c>
      <c r="E8" s="236"/>
      <c r="F8" s="236"/>
      <c r="G8" s="236"/>
      <c r="H8" s="236"/>
      <c r="I8" s="236"/>
      <c r="J8" s="237"/>
    </row>
    <row r="9" spans="1:45" ht="19.5" customHeight="1" thickBot="1">
      <c r="B9" s="238" t="s">
        <v>117</v>
      </c>
      <c r="C9" s="239"/>
      <c r="D9" s="240" t="str">
        <f>D7&amp;"情報を格納するテーブル"</f>
        <v>疾患マスタ情報を格納するテーブル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3868</v>
      </c>
      <c r="D15" s="6" t="s">
        <v>3869</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3879</v>
      </c>
      <c r="D18" s="6" t="s">
        <v>3881</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3880</v>
      </c>
      <c r="D19" s="6" t="s">
        <v>3882</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8" thickBot="1">
      <c r="A20" s="4"/>
      <c r="B20" s="64">
        <f t="shared" si="0"/>
        <v>8</v>
      </c>
      <c r="C20" s="28" t="s">
        <v>3883</v>
      </c>
      <c r="D20" s="28" t="s">
        <v>3884</v>
      </c>
      <c r="E20" s="29"/>
      <c r="F20" s="56" t="s">
        <v>734</v>
      </c>
      <c r="G20" s="56" t="str">
        <f t="shared" si="7"/>
        <v>text</v>
      </c>
      <c r="H20" s="66"/>
      <c r="I20" s="29" t="s">
        <v>127</v>
      </c>
      <c r="J20" s="67" t="s">
        <v>3885</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21</v>
      </c>
      <c r="E4" s="220"/>
      <c r="F4" s="220"/>
      <c r="G4" s="220"/>
      <c r="H4" s="220"/>
      <c r="I4" s="220"/>
      <c r="J4" s="221"/>
    </row>
    <row r="5" spans="1:45">
      <c r="B5" s="233" t="s">
        <v>3719</v>
      </c>
      <c r="C5" s="234"/>
      <c r="D5" s="243" t="str">
        <f>VLOOKUP(D7,エンティティ一覧!A1:'エンティティ一覧'!AM10179,7,FALSE)</f>
        <v>mt</v>
      </c>
      <c r="E5" s="244"/>
      <c r="F5" s="244"/>
      <c r="G5" s="244"/>
      <c r="H5" s="244"/>
      <c r="I5" s="244"/>
      <c r="J5" s="245"/>
    </row>
    <row r="6" spans="1:45">
      <c r="B6" s="233" t="s">
        <v>3720</v>
      </c>
      <c r="C6" s="234"/>
      <c r="D6" s="243" t="str">
        <f>VLOOKUP(D7,エンティティ一覧!A1:'エンティティ一覧'!AM10179,15,FALSE)</f>
        <v>ENT_21_05</v>
      </c>
      <c r="E6" s="244"/>
      <c r="F6" s="244"/>
      <c r="G6" s="244"/>
      <c r="H6" s="244"/>
      <c r="I6" s="244"/>
      <c r="J6" s="245"/>
    </row>
    <row r="7" spans="1:45">
      <c r="B7" s="233" t="s">
        <v>115</v>
      </c>
      <c r="C7" s="234"/>
      <c r="D7" s="235" t="s">
        <v>3870</v>
      </c>
      <c r="E7" s="236"/>
      <c r="F7" s="236"/>
      <c r="G7" s="236"/>
      <c r="H7" s="236"/>
      <c r="I7" s="236"/>
      <c r="J7" s="237"/>
    </row>
    <row r="8" spans="1:45">
      <c r="B8" s="233" t="s">
        <v>116</v>
      </c>
      <c r="C8" s="234"/>
      <c r="D8" s="235" t="str">
        <f>エンティティ一覧!AE2&amp;"_"&amp;D5&amp;"_yakuzai"</f>
        <v>sgioy_202310_mt_yakuzai</v>
      </c>
      <c r="E8" s="236"/>
      <c r="F8" s="236"/>
      <c r="G8" s="236"/>
      <c r="H8" s="236"/>
      <c r="I8" s="236"/>
      <c r="J8" s="237"/>
    </row>
    <row r="9" spans="1:45" ht="19.5" customHeight="1" thickBot="1">
      <c r="B9" s="238" t="s">
        <v>117</v>
      </c>
      <c r="C9" s="239"/>
      <c r="D9" s="240" t="str">
        <f>D7&amp;"情報を格納するテーブル"</f>
        <v>薬剤マスタ情報を格納するテーブル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8"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3871</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3872</v>
      </c>
      <c r="D14" s="101" t="s">
        <v>3873</v>
      </c>
      <c r="E14" s="102"/>
      <c r="F14" s="102" t="s">
        <v>3875</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3876</v>
      </c>
      <c r="D15" s="101" t="s">
        <v>3877</v>
      </c>
      <c r="E15" s="102"/>
      <c r="F15" s="102" t="s">
        <v>3875</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3874</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3874</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3874</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3878</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3874</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8" thickBot="1">
      <c r="A21" s="4"/>
      <c r="B21" s="64">
        <f t="shared" si="0"/>
        <v>9</v>
      </c>
      <c r="C21" s="28" t="s">
        <v>2688</v>
      </c>
      <c r="D21" s="28" t="s">
        <v>2689</v>
      </c>
      <c r="E21" s="29"/>
      <c r="F21" s="56" t="s">
        <v>3874</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conditionalFormatting sqref="D14">
    <cfRule type="duplicateValues" dxfId="9" priority="4"/>
  </conditionalFormatting>
  <conditionalFormatting sqref="D15">
    <cfRule type="duplicateValues" dxfId="8" priority="3"/>
  </conditionalFormatting>
  <conditionalFormatting sqref="D13">
    <cfRule type="duplicateValues" dxfId="7" priority="2"/>
  </conditionalFormatting>
  <conditionalFormatting sqref="D14">
    <cfRule type="duplicateValues" dxfId="6"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dimension ref="A1:AZ2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21</v>
      </c>
      <c r="E4" s="220"/>
      <c r="F4" s="220"/>
      <c r="G4" s="220"/>
      <c r="H4" s="220"/>
      <c r="I4" s="220"/>
      <c r="J4" s="221"/>
    </row>
    <row r="5" spans="1:52">
      <c r="B5" s="233" t="s">
        <v>3719</v>
      </c>
      <c r="C5" s="234"/>
      <c r="D5" s="243" t="str">
        <f>VLOOKUP(D7,エンティティ一覧!A1:'エンティティ一覧'!AM10179,7,FALSE)</f>
        <v>mt</v>
      </c>
      <c r="E5" s="244"/>
      <c r="F5" s="244"/>
      <c r="G5" s="244"/>
      <c r="H5" s="244"/>
      <c r="I5" s="244"/>
      <c r="J5" s="245"/>
    </row>
    <row r="6" spans="1:52">
      <c r="B6" s="233" t="s">
        <v>3720</v>
      </c>
      <c r="C6" s="234"/>
      <c r="D6" s="243" t="str">
        <f>VLOOKUP(D7,エンティティ一覧!A1:'エンティティ一覧'!AM10179,15,FALSE)</f>
        <v>ENT_21_06</v>
      </c>
      <c r="E6" s="244"/>
      <c r="F6" s="244"/>
      <c r="G6" s="244"/>
      <c r="H6" s="244"/>
      <c r="I6" s="244"/>
      <c r="J6" s="245"/>
    </row>
    <row r="7" spans="1:52">
      <c r="B7" s="233" t="s">
        <v>115</v>
      </c>
      <c r="C7" s="234"/>
      <c r="D7" s="235" t="s">
        <v>4167</v>
      </c>
      <c r="E7" s="236"/>
      <c r="F7" s="236"/>
      <c r="G7" s="236"/>
      <c r="H7" s="236"/>
      <c r="I7" s="236"/>
      <c r="J7" s="237"/>
    </row>
    <row r="8" spans="1:52">
      <c r="B8" s="233" t="s">
        <v>116</v>
      </c>
      <c r="C8" s="234"/>
      <c r="D8" s="235" t="str">
        <f>エンティティ一覧!AE2&amp;"_"&amp;D5&amp;"_yakuzai_list_mml"</f>
        <v>sgioy_202310_mt_yakuzai_list_mml</v>
      </c>
      <c r="E8" s="236"/>
      <c r="F8" s="236"/>
      <c r="G8" s="236"/>
      <c r="H8" s="236"/>
      <c r="I8" s="236"/>
      <c r="J8" s="237"/>
    </row>
    <row r="9" spans="1:52" ht="19.5" customHeight="1" thickBot="1">
      <c r="B9" s="238" t="s">
        <v>117</v>
      </c>
      <c r="C9" s="239"/>
      <c r="D9" s="240" t="s">
        <v>4169</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milscm_2023_007.sgioy_202310_mt_yakuzai_list_mml;</v>
      </c>
      <c r="O10" s="74"/>
      <c r="P10" s="74"/>
      <c r="Q10" s="74"/>
      <c r="R10" s="74"/>
      <c r="S10" s="74"/>
      <c r="T10" s="74"/>
      <c r="AJ10" s="74" t="str">
        <f>"ALTER TABLE ONLY "&amp;エンティティ一覧!$O$2&amp;"."&amp;D$8</f>
        <v>ALTER TABLE ONLY milscm_2023_007.sgioy_202310_mt_yakuzai_list_mml</v>
      </c>
      <c r="AS10" s="74" t="str">
        <f>"ALTER TABLE "&amp;エンティティ一覧!$O$2&amp;"."&amp;D$8&amp;" OWNER TO pgmisgrp1;"</f>
        <v>ALTER TABLE milscm_2023_007.sgioy_202310_mt_yakuzai_list_mml OWNER TO pgmisgrp1;</v>
      </c>
    </row>
    <row r="11" spans="1:52" ht="18" thickBot="1">
      <c r="B11" s="20" t="s">
        <v>118</v>
      </c>
      <c r="C11" s="19"/>
      <c r="D11" s="5"/>
      <c r="E11" s="5"/>
      <c r="F11" s="5"/>
      <c r="G11" s="5"/>
      <c r="H11" s="5"/>
      <c r="I11" s="5"/>
      <c r="J11" s="18"/>
      <c r="N11" s="74" t="str">
        <f>"CREATE TABLE  "&amp;エンティティ一覧!$O$2&amp;"."&amp;D$8</f>
        <v>CREATE TABLE  milscm_2023_007.sgioy_202310_mt_yakuzai_list_mml</v>
      </c>
      <c r="O11" s="74"/>
      <c r="P11" s="74"/>
      <c r="Q11" s="74"/>
      <c r="R11" s="74"/>
      <c r="S11" s="74"/>
      <c r="T11" s="74"/>
      <c r="AJ11" s="74" t="str">
        <f>"ADD CONSTRAINT "&amp;D$8&amp;"_pkey PRIMARY KEY"</f>
        <v>ADD CONSTRAINT sgioy_202310_mt_yakuzai_list_mml_pkey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milscm_2023_007.sgioy_202310_mt_yakuzai_list_mml IS 'MML薬剤名一覧';</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milscm_2023_007.sgioy_202310_mt_yakuzai_list_mml.facility_id_mml IS '施設ID（MML）';</v>
      </c>
    </row>
    <row r="14" spans="1:52" s="25" customFormat="1">
      <c r="A14" s="4"/>
      <c r="B14" s="21">
        <f t="shared" si="0"/>
        <v>2</v>
      </c>
      <c r="C14" s="6" t="s">
        <v>2826</v>
      </c>
      <c r="D14" s="6" t="s">
        <v>4163</v>
      </c>
      <c r="E14" s="10" t="s">
        <v>127</v>
      </c>
      <c r="F14" s="7" t="s">
        <v>1825</v>
      </c>
      <c r="G14" s="7" t="str">
        <f t="shared" si="1"/>
        <v>text</v>
      </c>
      <c r="H14" s="26"/>
      <c r="I14" s="10" t="s">
        <v>127</v>
      </c>
      <c r="J14" s="11"/>
      <c r="M14" s="4"/>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milscm_2023_007.sgioy_202310_mt_yakuzai_list_mml.medicine_name IS '薬剤名称';</v>
      </c>
    </row>
    <row r="15" spans="1:52" s="25" customFormat="1" ht="35.4" thickBot="1">
      <c r="A15" s="4"/>
      <c r="B15" s="27">
        <f>ROW()-12</f>
        <v>3</v>
      </c>
      <c r="C15" s="57" t="s">
        <v>4162</v>
      </c>
      <c r="D15" s="57" t="s">
        <v>4164</v>
      </c>
      <c r="E15" s="56"/>
      <c r="F15" s="56" t="s">
        <v>1825</v>
      </c>
      <c r="G15" s="56" t="str">
        <f t="shared" si="1"/>
        <v>text</v>
      </c>
      <c r="H15" s="59"/>
      <c r="I15" s="60"/>
      <c r="J15" s="62" t="s">
        <v>4168</v>
      </c>
      <c r="N15" s="74"/>
      <c r="O15" s="74"/>
      <c r="P15" s="74" t="str">
        <f t="shared" si="2"/>
        <v>,medicine_code_list</v>
      </c>
      <c r="Q15" s="74" t="str">
        <f t="shared" si="3"/>
        <v>TEXT</v>
      </c>
      <c r="R15" s="74" t="str">
        <f t="shared" si="4"/>
        <v/>
      </c>
      <c r="S15" s="74" t="str">
        <f t="shared" si="5"/>
        <v/>
      </c>
      <c r="T15" s="74" t="str">
        <f t="shared" si="6"/>
        <v>-- 薬剤コード一覧</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milscm_2023_007.sgioy_202310_mt_yakuzai_list_mml.medicine_code_list IS '薬剤コード一覧';</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dimension ref="A1:AZ2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21</v>
      </c>
      <c r="E4" s="220"/>
      <c r="F4" s="220"/>
      <c r="G4" s="220"/>
      <c r="H4" s="220"/>
      <c r="I4" s="220"/>
      <c r="J4" s="221"/>
    </row>
    <row r="5" spans="1:52">
      <c r="B5" s="233" t="s">
        <v>3719</v>
      </c>
      <c r="C5" s="234"/>
      <c r="D5" s="243" t="str">
        <f>VLOOKUP(D7,エンティティ一覧!A1:'エンティティ一覧'!AM10179,7,FALSE)</f>
        <v>mt</v>
      </c>
      <c r="E5" s="244"/>
      <c r="F5" s="244"/>
      <c r="G5" s="244"/>
      <c r="H5" s="244"/>
      <c r="I5" s="244"/>
      <c r="J5" s="245"/>
    </row>
    <row r="6" spans="1:52">
      <c r="B6" s="233" t="s">
        <v>3720</v>
      </c>
      <c r="C6" s="234"/>
      <c r="D6" s="243" t="str">
        <f>VLOOKUP(D7,エンティティ一覧!A1:'エンティティ一覧'!AM10179,15,FALSE)</f>
        <v>ENT_21_07</v>
      </c>
      <c r="E6" s="244"/>
      <c r="F6" s="244"/>
      <c r="G6" s="244"/>
      <c r="H6" s="244"/>
      <c r="I6" s="244"/>
      <c r="J6" s="245"/>
    </row>
    <row r="7" spans="1:52">
      <c r="B7" s="233" t="s">
        <v>115</v>
      </c>
      <c r="C7" s="234"/>
      <c r="D7" s="235" t="s">
        <v>4136</v>
      </c>
      <c r="E7" s="236"/>
      <c r="F7" s="236"/>
      <c r="G7" s="236"/>
      <c r="H7" s="236"/>
      <c r="I7" s="236"/>
      <c r="J7" s="237"/>
    </row>
    <row r="8" spans="1:52">
      <c r="B8" s="233" t="s">
        <v>116</v>
      </c>
      <c r="C8" s="234"/>
      <c r="D8" s="235" t="str">
        <f>エンティティ一覧!AE2&amp;"_"&amp;D5&amp;"_yakuzai_mml"</f>
        <v>sgioy_202310_mt_yakuzai_mml</v>
      </c>
      <c r="E8" s="236"/>
      <c r="F8" s="236"/>
      <c r="G8" s="236"/>
      <c r="H8" s="236"/>
      <c r="I8" s="236"/>
      <c r="J8" s="237"/>
    </row>
    <row r="9" spans="1:52" ht="19.5" customHeight="1" thickBot="1">
      <c r="B9" s="238" t="s">
        <v>117</v>
      </c>
      <c r="C9" s="239"/>
      <c r="D9" s="240" t="s">
        <v>4280</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milscm_2023_007.sgioy_202310_mt_yakuzai_mml;</v>
      </c>
      <c r="O10" s="74"/>
      <c r="P10" s="74"/>
      <c r="Q10" s="74"/>
      <c r="R10" s="74"/>
      <c r="S10" s="74"/>
      <c r="T10" s="74"/>
      <c r="AJ10" s="74" t="str">
        <f>"ALTER TABLE ONLY "&amp;エンティティ一覧!$O$2&amp;"."&amp;D$8</f>
        <v>ALTER TABLE ONLY milscm_2023_007.sgioy_202310_mt_yakuzai_mml</v>
      </c>
      <c r="AS10" s="74" t="str">
        <f>"ALTER TABLE "&amp;エンティティ一覧!$O$2&amp;"."&amp;D$8&amp;" OWNER TO pgmisgrp1;"</f>
        <v>ALTER TABLE milscm_2023_007.sgioy_202310_mt_yakuzai_mml OWNER TO pgmisgrp1;</v>
      </c>
    </row>
    <row r="11" spans="1:52" ht="18" thickBot="1">
      <c r="B11" s="20" t="s">
        <v>118</v>
      </c>
      <c r="C11" s="19"/>
      <c r="D11" s="5"/>
      <c r="E11" s="5"/>
      <c r="F11" s="5"/>
      <c r="G11" s="5"/>
      <c r="H11" s="5"/>
      <c r="I11" s="5"/>
      <c r="J11" s="18"/>
      <c r="N11" s="74" t="str">
        <f>"CREATE TABLE  "&amp;エンティティ一覧!$O$2&amp;"."&amp;D$8</f>
        <v>CREATE TABLE  milscm_2023_007.sgioy_202310_mt_yakuzai_mml</v>
      </c>
      <c r="O11" s="74"/>
      <c r="P11" s="74"/>
      <c r="Q11" s="74"/>
      <c r="R11" s="74"/>
      <c r="S11" s="74"/>
      <c r="T11" s="74"/>
      <c r="AJ11" s="74" t="str">
        <f>"ADD CONSTRAINT "&amp;D$8&amp;"_pkey PRIMARY KEY"</f>
        <v>ADD CONSTRAINT sgioy_202310_mt_yakuzai_mml_pkey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milscm_2023_007.sgioy_202310_mt_yakuzai_mml IS 'MML薬剤マスタ';</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milscm_2023_007.sgioy_202310_mt_yakuzai_mml.facility_id_mml IS '施設ID（MML）';</v>
      </c>
    </row>
    <row r="14" spans="1:52" s="25" customFormat="1">
      <c r="A14" s="4"/>
      <c r="B14" s="21">
        <f t="shared" si="0"/>
        <v>2</v>
      </c>
      <c r="C14" s="6" t="s">
        <v>2826</v>
      </c>
      <c r="D14" s="6" t="s">
        <v>2827</v>
      </c>
      <c r="E14" s="10" t="s">
        <v>127</v>
      </c>
      <c r="F14" s="7" t="s">
        <v>1825</v>
      </c>
      <c r="G14" s="7" t="str">
        <f t="shared" ref="G14" si="7">IF(F14="フラグ","boolean",IF(F14="文字列","text",IF(F14="整数","integer",IF(F14="実数","numeric",""))))</f>
        <v>text</v>
      </c>
      <c r="H14" s="26"/>
      <c r="I14" s="10" t="s">
        <v>127</v>
      </c>
      <c r="J14" s="11"/>
      <c r="M14" s="4"/>
      <c r="N14" s="74"/>
      <c r="O14" s="74"/>
      <c r="P14" s="74" t="str">
        <f t="shared" ref="P14" si="8">IF(B14&lt;&gt;1,","&amp;D14,D14)</f>
        <v>,medicine_name</v>
      </c>
      <c r="Q14" s="74" t="str">
        <f t="shared" ref="Q14" si="9">UPPER(G14)</f>
        <v>TEXT</v>
      </c>
      <c r="R14" s="74" t="str">
        <f t="shared" ref="R14" si="10">IF(H14&lt;&gt;"","default "&amp;IF(G14="text","'"&amp;H14&amp;"'",H14),"")</f>
        <v/>
      </c>
      <c r="S14" s="74" t="str">
        <f t="shared" ref="S14" si="11">IF(I14="○","NOT NULL","")</f>
        <v>NOT NULL</v>
      </c>
      <c r="T14" s="74" t="str">
        <f t="shared" ref="T14" si="12">"-- "&amp;C14</f>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milscm_2023_007.sgioy_202310_mt_yakuzai_mml.medicine_name IS '薬剤名称';</v>
      </c>
    </row>
    <row r="15" spans="1:52" s="25" customFormat="1" ht="18" thickBot="1">
      <c r="A15" s="4"/>
      <c r="B15" s="27">
        <f>ROW()-12</f>
        <v>3</v>
      </c>
      <c r="C15" s="57" t="s">
        <v>4281</v>
      </c>
      <c r="D15" s="57" t="s">
        <v>2551</v>
      </c>
      <c r="E15" s="56"/>
      <c r="F15" s="56" t="s">
        <v>1825</v>
      </c>
      <c r="G15" s="56" t="str">
        <f t="shared" si="1"/>
        <v>text</v>
      </c>
      <c r="H15" s="59"/>
      <c r="I15" s="60" t="s">
        <v>127</v>
      </c>
      <c r="J15" s="62"/>
      <c r="N15" s="74"/>
      <c r="O15" s="74"/>
      <c r="P15" s="74" t="str">
        <f t="shared" si="2"/>
        <v>,iyakuhin_cd</v>
      </c>
      <c r="Q15" s="74" t="str">
        <f t="shared" si="3"/>
        <v>TEXT</v>
      </c>
      <c r="R15" s="74" t="str">
        <f t="shared" si="4"/>
        <v/>
      </c>
      <c r="S15" s="74" t="str">
        <f t="shared" si="5"/>
        <v>NOT NULL</v>
      </c>
      <c r="T15" s="74" t="str">
        <f t="shared" si="6"/>
        <v>-- 医薬品コード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milscm_2023_007.sgioy_202310_mt_yakuzai_mml.iyakuhin_cd IS '医薬品コード';</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dimension ref="A1:AZ2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21</v>
      </c>
      <c r="E4" s="220"/>
      <c r="F4" s="220"/>
      <c r="G4" s="220"/>
      <c r="H4" s="220"/>
      <c r="I4" s="220"/>
      <c r="J4" s="221"/>
    </row>
    <row r="5" spans="1:45">
      <c r="B5" s="233" t="s">
        <v>3719</v>
      </c>
      <c r="C5" s="234"/>
      <c r="D5" s="243" t="str">
        <f>VLOOKUP(D7,エンティティ一覧!A1:'エンティティ一覧'!AM10179,7,FALSE)</f>
        <v>mt</v>
      </c>
      <c r="E5" s="244"/>
      <c r="F5" s="244"/>
      <c r="G5" s="244"/>
      <c r="H5" s="244"/>
      <c r="I5" s="244"/>
      <c r="J5" s="245"/>
    </row>
    <row r="6" spans="1:45">
      <c r="B6" s="233" t="s">
        <v>3720</v>
      </c>
      <c r="C6" s="234"/>
      <c r="D6" s="243" t="str">
        <f>VLOOKUP(D7,エンティティ一覧!A1:'エンティティ一覧'!AM10179,15,FALSE)</f>
        <v>ENT_21_08</v>
      </c>
      <c r="E6" s="244"/>
      <c r="F6" s="244"/>
      <c r="G6" s="244"/>
      <c r="H6" s="244"/>
      <c r="I6" s="244"/>
      <c r="J6" s="245"/>
    </row>
    <row r="7" spans="1:45">
      <c r="B7" s="233" t="s">
        <v>115</v>
      </c>
      <c r="C7" s="234"/>
      <c r="D7" s="235" t="s">
        <v>4173</v>
      </c>
      <c r="E7" s="236"/>
      <c r="F7" s="236"/>
      <c r="G7" s="236"/>
      <c r="H7" s="236"/>
      <c r="I7" s="236"/>
      <c r="J7" s="237"/>
    </row>
    <row r="8" spans="1:45">
      <c r="B8" s="233" t="s">
        <v>116</v>
      </c>
      <c r="C8" s="234"/>
      <c r="D8" s="235" t="str">
        <f>エンティティ一覧!AE2&amp;"_"&amp;D5&amp;"_shinryo_koi"</f>
        <v>sgioy_202310_mt_shinryo_koi</v>
      </c>
      <c r="E8" s="236"/>
      <c r="F8" s="236"/>
      <c r="G8" s="236"/>
      <c r="H8" s="236"/>
      <c r="I8" s="236"/>
      <c r="J8" s="237"/>
    </row>
    <row r="9" spans="1:45" ht="19.5" customHeight="1" thickBot="1">
      <c r="B9" s="238" t="s">
        <v>117</v>
      </c>
      <c r="C9" s="239"/>
      <c r="D9" s="240" t="str">
        <f>D7&amp;"情報を格納するテーブル"</f>
        <v>診療行為マスタ情報を格納するテーブル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milscm_2023_007.sgioy_202310_mt_shinryo_koi;</v>
      </c>
      <c r="O10" s="74"/>
      <c r="P10" s="74"/>
      <c r="Q10" s="74"/>
      <c r="R10" s="74"/>
      <c r="S10" s="74"/>
      <c r="T10" s="74"/>
      <c r="AJ10" s="74" t="str">
        <f>"ALTER TABLE ONLY "&amp;エンティティ一覧!$O$2&amp;"."&amp;D$8</f>
        <v>ALTER TABLE ONLY milscm_2023_007.sgioy_202310_mt_shinryo_koi</v>
      </c>
      <c r="AS10" s="74" t="str">
        <f>"ALTER TABLE "&amp;エンティティ一覧!$O$2&amp;"."&amp;D$8&amp;" OWNER TO pgmisgrp1;"</f>
        <v>ALTER TABLE milscm_2023_007.sgioy_202310_mt_shinryo_koi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milscm_2023_007.sgioy_202310_mt_shinryo_koi</v>
      </c>
      <c r="O11" s="74"/>
      <c r="P11" s="74"/>
      <c r="Q11" s="74"/>
      <c r="R11" s="74"/>
      <c r="S11" s="74"/>
      <c r="T11" s="74"/>
      <c r="AJ11" s="74" t="str">
        <f>"ADD CONSTRAINT "&amp;D$8&amp;"_pkey PRIMARY KEY"</f>
        <v>ADD CONSTRAINT sgioy_202310_mt_shinryo_koi_pkey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milscm_2023_007.sgioy_202310_mt_shinryo_koi IS '診療行為マスタ';</v>
      </c>
    </row>
    <row r="13" spans="1:45" s="25" customFormat="1">
      <c r="A13" s="4"/>
      <c r="B13" s="21">
        <f t="shared" ref="B13:B16" si="0">ROW()-12</f>
        <v>1</v>
      </c>
      <c r="C13" s="6" t="s">
        <v>1129</v>
      </c>
      <c r="D13" s="6" t="s">
        <v>2614</v>
      </c>
      <c r="E13" s="10" t="s">
        <v>127</v>
      </c>
      <c r="F13" s="7" t="s">
        <v>734</v>
      </c>
      <c r="G13" s="7" t="str">
        <f t="shared" ref="G13:G17" si="1">IF(F13="フラグ","boolean",IF(F13="文字列","text",IF(F13="整数","integer",IF(F13="実数","numeric",""))))</f>
        <v>text</v>
      </c>
      <c r="H13" s="26"/>
      <c r="I13" s="10" t="s">
        <v>127</v>
      </c>
      <c r="J13" s="11"/>
      <c r="M13" s="4"/>
      <c r="N13" s="74"/>
      <c r="O13" s="74"/>
      <c r="P13" s="74" t="str">
        <f t="shared" ref="P13:P17" si="2">IF(B13&lt;&gt;1,","&amp;D13,D13)</f>
        <v>shinryo_koi_cd</v>
      </c>
      <c r="Q13" s="74" t="str">
        <f t="shared" ref="Q13:Q17" si="3">UPPER(G13)</f>
        <v>TEXT</v>
      </c>
      <c r="R13" s="74" t="str">
        <f t="shared" ref="R13:R17" si="4">IF(H13&lt;&gt;"","default "&amp;IF(G13="text","'"&amp;H13&amp;"'",H13),"")</f>
        <v/>
      </c>
      <c r="S13" s="74" t="str">
        <f t="shared" ref="S13:S17" si="5">IF(I13="○","NOT NULL","")</f>
        <v>NOT NULL</v>
      </c>
      <c r="T13" s="74" t="str">
        <f t="shared" ref="T13:T17" si="6">"--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milscm_2023_007.sgioy_202310_mt_shinryo_koi.shinryo_koi_cd IS '診療行為コード';</v>
      </c>
    </row>
    <row r="14" spans="1:45" s="25" customFormat="1">
      <c r="A14" s="4"/>
      <c r="B14" s="21">
        <f t="shared" si="0"/>
        <v>2</v>
      </c>
      <c r="C14" s="6" t="s">
        <v>2617</v>
      </c>
      <c r="D14" s="6" t="s">
        <v>2618</v>
      </c>
      <c r="E14" s="10"/>
      <c r="F14" s="7" t="s">
        <v>734</v>
      </c>
      <c r="G14" s="7" t="str">
        <f t="shared" si="1"/>
        <v>text</v>
      </c>
      <c r="H14" s="26"/>
      <c r="I14" s="10" t="s">
        <v>127</v>
      </c>
      <c r="J14" s="11"/>
      <c r="M14" s="4"/>
      <c r="N14" s="74"/>
      <c r="O14" s="74"/>
      <c r="P14" s="74" t="str">
        <f t="shared" si="2"/>
        <v>,cd_no_kubun</v>
      </c>
      <c r="Q14" s="74" t="str">
        <f t="shared" si="3"/>
        <v>TEXT</v>
      </c>
      <c r="R14" s="74" t="str">
        <f t="shared" si="4"/>
        <v/>
      </c>
      <c r="S14" s="74" t="str">
        <f t="shared" si="5"/>
        <v>NOT NULL</v>
      </c>
      <c r="T14" s="74" t="str">
        <f t="shared" si="6"/>
        <v>-- 区分番号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milscm_2023_007.sgioy_202310_mt_shinryo_koi.cd_no_kubun IS '区分番号';</v>
      </c>
    </row>
    <row r="15" spans="1:45" s="25" customFormat="1">
      <c r="A15" s="4"/>
      <c r="B15" s="21">
        <f t="shared" si="0"/>
        <v>3</v>
      </c>
      <c r="C15" s="6" t="s">
        <v>2623</v>
      </c>
      <c r="D15" s="6" t="s">
        <v>221</v>
      </c>
      <c r="E15" s="10"/>
      <c r="F15" s="7" t="s">
        <v>734</v>
      </c>
      <c r="G15" s="7" t="str">
        <f t="shared" ref="G15:G16" si="7">IF(F15="フラグ","boolean",IF(F15="文字列","text",IF(F15="整数","integer",IF(F15="実数","numeric",""))))</f>
        <v>text</v>
      </c>
      <c r="H15" s="26"/>
      <c r="I15" s="10" t="s">
        <v>127</v>
      </c>
      <c r="J15" s="11"/>
      <c r="M15" s="4"/>
      <c r="N15" s="74"/>
      <c r="O15" s="74"/>
      <c r="P15" s="74" t="str">
        <f t="shared" ref="P15:P16" si="8">IF(B15&lt;&gt;1,","&amp;D15,D15)</f>
        <v>,shinryo_koi_name</v>
      </c>
      <c r="Q15" s="74" t="str">
        <f t="shared" ref="Q15:Q16" si="9">UPPER(G15)</f>
        <v>TEXT</v>
      </c>
      <c r="R15" s="74" t="str">
        <f t="shared" ref="R15:R16" si="10">IF(H15&lt;&gt;"","default "&amp;IF(G15="text","'"&amp;H15&amp;"'",H15),"")</f>
        <v/>
      </c>
      <c r="S15" s="74" t="str">
        <f t="shared" ref="S15:S16" si="11">IF(I15="○","NOT NULL","")</f>
        <v>NOT NULL</v>
      </c>
      <c r="T15" s="74" t="str">
        <f t="shared" ref="T15:T16" si="12">"-- "&amp;C15</f>
        <v>-- 診療行為省略名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milscm_2023_007.sgioy_202310_mt_shinryo_koi.shinryo_koi_name IS '診療行為省略名';</v>
      </c>
    </row>
    <row r="16" spans="1:45" s="25" customFormat="1">
      <c r="A16" s="4"/>
      <c r="B16" s="21">
        <f t="shared" si="0"/>
        <v>4</v>
      </c>
      <c r="C16" s="6" t="s">
        <v>2624</v>
      </c>
      <c r="D16" s="6" t="s">
        <v>2625</v>
      </c>
      <c r="E16" s="10"/>
      <c r="F16" s="7" t="s">
        <v>734</v>
      </c>
      <c r="G16" s="7" t="str">
        <f t="shared" si="7"/>
        <v>text</v>
      </c>
      <c r="H16" s="26"/>
      <c r="I16" s="10" t="s">
        <v>127</v>
      </c>
      <c r="J16" s="11"/>
      <c r="M16" s="4"/>
      <c r="N16" s="74"/>
      <c r="O16" s="74"/>
      <c r="P16" s="74" t="str">
        <f t="shared" si="8"/>
        <v>,shinryo_koi_kihonname</v>
      </c>
      <c r="Q16" s="74" t="str">
        <f t="shared" si="9"/>
        <v>TEXT</v>
      </c>
      <c r="R16" s="74" t="str">
        <f t="shared" si="10"/>
        <v/>
      </c>
      <c r="S16" s="74" t="str">
        <f t="shared" si="11"/>
        <v>NOT NULL</v>
      </c>
      <c r="T16" s="74" t="str">
        <f t="shared" si="12"/>
        <v>-- 診療行為名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milscm_2023_007.sgioy_202310_mt_shinryo_koi.shinryo_koi_kihonname IS '診療行為名';</v>
      </c>
    </row>
    <row r="17" spans="1:52" s="25" customFormat="1" ht="35.4" thickBot="1">
      <c r="A17" s="4"/>
      <c r="B17" s="27">
        <f>ROW()-12</f>
        <v>5</v>
      </c>
      <c r="C17" s="57" t="s">
        <v>3868</v>
      </c>
      <c r="D17" s="57" t="s">
        <v>4174</v>
      </c>
      <c r="E17" s="56"/>
      <c r="F17" s="56" t="s">
        <v>734</v>
      </c>
      <c r="G17" s="56" t="str">
        <f t="shared" si="1"/>
        <v>text</v>
      </c>
      <c r="H17" s="59"/>
      <c r="I17" s="60" t="s">
        <v>127</v>
      </c>
      <c r="J17" s="62" t="s">
        <v>4175</v>
      </c>
      <c r="N17" s="74"/>
      <c r="O17" s="74"/>
      <c r="P17" s="74" t="str">
        <f t="shared" si="2"/>
        <v>,disp_name</v>
      </c>
      <c r="Q17" s="74" t="str">
        <f t="shared" si="3"/>
        <v>TEXT</v>
      </c>
      <c r="R17" s="74" t="str">
        <f t="shared" si="4"/>
        <v/>
      </c>
      <c r="S17" s="74" t="str">
        <f t="shared" si="5"/>
        <v>NOT NULL</v>
      </c>
      <c r="T17" s="74" t="str">
        <f t="shared" si="6"/>
        <v>-- 表示名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milscm_2023_007.sgioy_202310_mt_shinryo_koi.disp_name IS '表示名';</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M21" s="25"/>
    </row>
    <row r="22" spans="1:52">
      <c r="M2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21</v>
      </c>
      <c r="E4" s="220"/>
      <c r="F4" s="220"/>
      <c r="G4" s="220"/>
      <c r="H4" s="220"/>
      <c r="I4" s="220"/>
      <c r="J4" s="221"/>
    </row>
    <row r="5" spans="1:45">
      <c r="B5" s="233" t="s">
        <v>3719</v>
      </c>
      <c r="C5" s="234"/>
      <c r="D5" s="243" t="str">
        <f>VLOOKUP(D7,エンティティ一覧!A1:'エンティティ一覧'!AM10179,7,FALSE)</f>
        <v>mt</v>
      </c>
      <c r="E5" s="244"/>
      <c r="F5" s="244"/>
      <c r="G5" s="244"/>
      <c r="H5" s="244"/>
      <c r="I5" s="244"/>
      <c r="J5" s="245"/>
    </row>
    <row r="6" spans="1:45">
      <c r="B6" s="233" t="s">
        <v>3720</v>
      </c>
      <c r="C6" s="234"/>
      <c r="D6" s="243" t="str">
        <f>VLOOKUP(D7,エンティティ一覧!A1:'エンティティ一覧'!AM10179,15,FALSE)</f>
        <v>ENT_21_09</v>
      </c>
      <c r="E6" s="244"/>
      <c r="F6" s="244"/>
      <c r="G6" s="244"/>
      <c r="H6" s="244"/>
      <c r="I6" s="244"/>
      <c r="J6" s="245"/>
    </row>
    <row r="7" spans="1:45">
      <c r="B7" s="233" t="s">
        <v>115</v>
      </c>
      <c r="C7" s="234"/>
      <c r="D7" s="235" t="s">
        <v>3886</v>
      </c>
      <c r="E7" s="236"/>
      <c r="F7" s="236"/>
      <c r="G7" s="236"/>
      <c r="H7" s="236"/>
      <c r="I7" s="236"/>
      <c r="J7" s="237"/>
    </row>
    <row r="8" spans="1:45">
      <c r="B8" s="233" t="s">
        <v>116</v>
      </c>
      <c r="C8" s="234"/>
      <c r="D8" s="235" t="str">
        <f>エンティティ一覧!AE2&amp;"_"&amp;D5&amp;"_kensa"</f>
        <v>sgioy_202310_mt_kensa</v>
      </c>
      <c r="E8" s="236"/>
      <c r="F8" s="236"/>
      <c r="G8" s="236"/>
      <c r="H8" s="236"/>
      <c r="I8" s="236"/>
      <c r="J8" s="237"/>
    </row>
    <row r="9" spans="1:45" ht="19.5" customHeight="1" thickBot="1">
      <c r="B9" s="238" t="s">
        <v>117</v>
      </c>
      <c r="C9" s="239"/>
      <c r="D9" s="240" t="str">
        <f>D7&amp;"情報を格納するテーブル"</f>
        <v>検体検査マスタ情報を格納するテーブル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20" si="0">ROW()-12</f>
        <v>1</v>
      </c>
      <c r="C13" s="6" t="s">
        <v>3893</v>
      </c>
      <c r="D13" s="6" t="s">
        <v>880</v>
      </c>
      <c r="E13" s="8" t="s">
        <v>127</v>
      </c>
      <c r="F13" s="8" t="s">
        <v>3887</v>
      </c>
      <c r="G13" s="7" t="str">
        <f t="shared" ref="G13:G20" si="1">IF(F13="フラグ","boolean",IF(F13="文字列","text",IF(F13="整数","integer",IF(F13="実数","numeric",""))))</f>
        <v>text</v>
      </c>
      <c r="H13" s="65"/>
      <c r="I13" s="8" t="s">
        <v>127</v>
      </c>
      <c r="J13" s="11"/>
      <c r="M13" s="4"/>
      <c r="N13" s="74"/>
      <c r="O13" s="74"/>
      <c r="P13" s="74" t="str">
        <f t="shared" ref="P13:P20" si="2">IF(B13&lt;&gt;1,","&amp;D13,D13)</f>
        <v>facility_id</v>
      </c>
      <c r="Q13" s="74" t="str">
        <f t="shared" ref="Q13:Q20" si="3">UPPER(G13)</f>
        <v>TEXT</v>
      </c>
      <c r="R13" s="74" t="str">
        <f t="shared" ref="R13:R20"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6" t="s">
        <v>2406</v>
      </c>
      <c r="D14" s="6" t="s">
        <v>2407</v>
      </c>
      <c r="E14" s="102"/>
      <c r="F14" s="102" t="s">
        <v>3887</v>
      </c>
      <c r="G14" s="7" t="str">
        <f t="shared" si="1"/>
        <v>text</v>
      </c>
      <c r="H14" s="65"/>
      <c r="I14" s="8"/>
      <c r="J14" s="11"/>
      <c r="M14" s="4"/>
      <c r="N14" s="74"/>
      <c r="O14" s="74"/>
      <c r="P14" s="74" t="str">
        <f t="shared" si="2"/>
        <v>,facility_id_mml</v>
      </c>
      <c r="Q14" s="74" t="str">
        <f t="shared" si="3"/>
        <v>TEXT</v>
      </c>
      <c r="R14" s="74" t="str">
        <f t="shared" si="4"/>
        <v/>
      </c>
      <c r="S14" s="74" t="str">
        <f>IF(I14="○","NOT NULL","")</f>
        <v/>
      </c>
      <c r="T14" s="74" t="str">
        <f>"--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milscm_2023_007.sgioy_202310_mt_kensa.facility_id_mml IS '施設ID（MML）';</v>
      </c>
    </row>
    <row r="15" spans="1:45" s="25" customFormat="1">
      <c r="A15" s="4"/>
      <c r="B15" s="21">
        <f t="shared" si="0"/>
        <v>3</v>
      </c>
      <c r="C15" s="101" t="s">
        <v>4285</v>
      </c>
      <c r="D15" s="101" t="s">
        <v>1611</v>
      </c>
      <c r="E15" s="102" t="s">
        <v>127</v>
      </c>
      <c r="F15" s="102" t="s">
        <v>3887</v>
      </c>
      <c r="G15" s="7" t="str">
        <f t="shared" ref="G15" si="5">IF(F15="フラグ","boolean",IF(F15="文字列","text",IF(F15="整数","integer",IF(F15="実数","numeric",""))))</f>
        <v>text</v>
      </c>
      <c r="H15" s="65"/>
      <c r="I15" s="8" t="s">
        <v>127</v>
      </c>
      <c r="J15" s="11"/>
      <c r="M15" s="4"/>
      <c r="N15" s="74"/>
      <c r="O15" s="74"/>
      <c r="P15" s="74" t="str">
        <f t="shared" ref="P15" si="6">IF(B15&lt;&gt;1,","&amp;D15,D15)</f>
        <v>,specimen_name</v>
      </c>
      <c r="Q15" s="74" t="str">
        <f t="shared" ref="Q15" si="7">UPPER(G15)</f>
        <v>TEXT</v>
      </c>
      <c r="R15" s="74" t="str">
        <f t="shared" ref="R15" si="8">IF(H15&lt;&gt;"","default "&amp;IF(G15="text","'"&amp;H15&amp;"'",H15),"")</f>
        <v/>
      </c>
      <c r="S15" s="74" t="str">
        <f>IF(I15="○","NOT NULL","")</f>
        <v>NOT NULL</v>
      </c>
      <c r="T15" s="74" t="str">
        <f>"-- "&amp;C15</f>
        <v>-- 検体材料</v>
      </c>
      <c r="U15" s="4"/>
      <c r="AA15" s="4"/>
      <c r="AB15" s="4"/>
      <c r="AC15" s="4"/>
      <c r="AD15" s="4"/>
      <c r="AE15" s="4"/>
      <c r="AF15" s="4"/>
      <c r="AG15" s="4"/>
      <c r="AH15" s="4"/>
      <c r="AI15" s="4"/>
      <c r="AJ15" s="74" t="str">
        <f>IF(E15="○",IF(COUNTA(E$13:E15)=1,"",",")&amp;D15,"")</f>
        <v>,specimen_name</v>
      </c>
      <c r="AK15" s="4"/>
      <c r="AL15" s="4"/>
      <c r="AM15" s="4"/>
      <c r="AN15" s="4"/>
      <c r="AO15" s="4"/>
      <c r="AP15" s="4"/>
      <c r="AQ15" s="4"/>
      <c r="AR15" s="4"/>
      <c r="AS15" s="74" t="str">
        <f>"COMMENT ON COLUMN "&amp;エンティティ一覧!$O$2&amp;"."&amp;D$8&amp;"."&amp;D15&amp;" IS '"&amp;C15&amp;"';"</f>
        <v>COMMENT ON COLUMN milscm_2023_007.sgioy_202310_mt_kensa.specimen_name IS '検体材料';</v>
      </c>
    </row>
    <row r="16" spans="1:45" s="25" customFormat="1">
      <c r="A16" s="4"/>
      <c r="B16" s="21">
        <f t="shared" si="0"/>
        <v>4</v>
      </c>
      <c r="C16" s="101" t="s">
        <v>1612</v>
      </c>
      <c r="D16" s="101" t="s">
        <v>1613</v>
      </c>
      <c r="E16" s="102" t="s">
        <v>127</v>
      </c>
      <c r="F16" s="102" t="s">
        <v>3887</v>
      </c>
      <c r="G16" s="7" t="str">
        <f t="shared" si="1"/>
        <v>text</v>
      </c>
      <c r="H16" s="65"/>
      <c r="I16" s="8" t="s">
        <v>127</v>
      </c>
      <c r="J16" s="11"/>
      <c r="N16" s="74"/>
      <c r="O16" s="74"/>
      <c r="P16" s="74" t="str">
        <f t="shared" si="2"/>
        <v>,sp_code</v>
      </c>
      <c r="Q16" s="74" t="str">
        <f t="shared" si="3"/>
        <v>TEXT</v>
      </c>
      <c r="R16" s="74" t="str">
        <f t="shared" si="4"/>
        <v/>
      </c>
      <c r="S16" s="74" t="str">
        <f t="shared" ref="S16:S20" si="9">IF(I16="○","NOT NULL","")</f>
        <v>NOT NULL</v>
      </c>
      <c r="T16" s="74" t="str">
        <f t="shared" ref="T16:T20" si="10">"-- "&amp;C16</f>
        <v>-- 検体材料コード</v>
      </c>
      <c r="U16" s="4"/>
      <c r="AA16" s="4"/>
      <c r="AB16" s="4"/>
      <c r="AC16" s="4"/>
      <c r="AD16" s="4"/>
      <c r="AE16" s="4"/>
      <c r="AF16" s="4"/>
      <c r="AG16" s="4"/>
      <c r="AH16" s="4"/>
      <c r="AI16" s="4"/>
      <c r="AJ16" s="74" t="str">
        <f>IF(E16="○",IF(COUNTA(E$13:E16)=1,"",",")&amp;D16,"")</f>
        <v>,sp_code</v>
      </c>
      <c r="AK16" s="4"/>
      <c r="AL16" s="4"/>
      <c r="AM16" s="4"/>
      <c r="AN16" s="4"/>
      <c r="AO16" s="4"/>
      <c r="AP16" s="4"/>
      <c r="AQ16" s="4"/>
      <c r="AR16" s="4"/>
      <c r="AS16" s="74" t="str">
        <f>"COMMENT ON COLUMN "&amp;エンティティ一覧!$O$2&amp;"."&amp;D$8&amp;"."&amp;D16&amp;" IS '"&amp;C16&amp;"';"</f>
        <v>COMMENT ON COLUMN milscm_2023_007.sgioy_202310_mt_kensa.sp_code IS '検体材料コード';</v>
      </c>
    </row>
    <row r="17" spans="1:52" s="25" customFormat="1">
      <c r="A17" s="4"/>
      <c r="B17" s="21">
        <f t="shared" si="0"/>
        <v>5</v>
      </c>
      <c r="C17" s="6" t="s">
        <v>3888</v>
      </c>
      <c r="D17" s="6" t="s">
        <v>1628</v>
      </c>
      <c r="E17" s="8" t="s">
        <v>127</v>
      </c>
      <c r="F17" s="7" t="s">
        <v>3887</v>
      </c>
      <c r="G17" s="7" t="str">
        <f t="shared" si="1"/>
        <v>text</v>
      </c>
      <c r="H17" s="65"/>
      <c r="I17" s="8" t="s">
        <v>127</v>
      </c>
      <c r="J17" s="11"/>
      <c r="N17" s="74"/>
      <c r="O17" s="74"/>
      <c r="P17" s="74" t="str">
        <f t="shared" si="2"/>
        <v>,item_name</v>
      </c>
      <c r="Q17" s="74" t="str">
        <f t="shared" si="3"/>
        <v>TEXT</v>
      </c>
      <c r="R17" s="74" t="str">
        <f t="shared" si="4"/>
        <v/>
      </c>
      <c r="S17" s="74" t="str">
        <f t="shared" si="9"/>
        <v>NOT NULL</v>
      </c>
      <c r="T17" s="74" t="str">
        <f t="shared" si="10"/>
        <v>-- 検査名</v>
      </c>
      <c r="U17" s="4"/>
      <c r="AA17" s="4"/>
      <c r="AB17" s="4"/>
      <c r="AC17" s="4"/>
      <c r="AD17" s="4"/>
      <c r="AE17" s="4"/>
      <c r="AF17" s="4"/>
      <c r="AG17" s="4"/>
      <c r="AH17" s="4"/>
      <c r="AI17" s="4"/>
      <c r="AJ17" s="74" t="str">
        <f>IF(E17="○",IF(COUNTA(E$13:E17)=1,"",",")&amp;D17,"")</f>
        <v>,item_name</v>
      </c>
      <c r="AK17" s="4"/>
      <c r="AL17" s="4"/>
      <c r="AM17" s="4"/>
      <c r="AN17" s="4"/>
      <c r="AO17" s="4"/>
      <c r="AP17" s="4"/>
      <c r="AQ17" s="4"/>
      <c r="AR17" s="4"/>
      <c r="AS17" s="74" t="str">
        <f>"COMMENT ON COLUMN "&amp;エンティティ一覧!$O$2&amp;"."&amp;D$8&amp;"."&amp;D17&amp;" IS '"&amp;C17&amp;"';"</f>
        <v>COMMENT ON COLUMN milscm_2023_007.sgioy_202310_mt_kensa.item_name IS '検査名';</v>
      </c>
    </row>
    <row r="18" spans="1:52" s="25" customFormat="1">
      <c r="A18" s="4"/>
      <c r="B18" s="21">
        <f t="shared" si="0"/>
        <v>6</v>
      </c>
      <c r="C18" s="6" t="s">
        <v>3889</v>
      </c>
      <c r="D18" s="6" t="s">
        <v>3890</v>
      </c>
      <c r="E18" s="8" t="s">
        <v>127</v>
      </c>
      <c r="F18" s="7" t="s">
        <v>3887</v>
      </c>
      <c r="G18" s="7" t="str">
        <f t="shared" si="1"/>
        <v>text</v>
      </c>
      <c r="H18" s="65"/>
      <c r="I18" s="8" t="s">
        <v>127</v>
      </c>
      <c r="J18" s="11"/>
      <c r="N18" s="74"/>
      <c r="O18" s="74"/>
      <c r="P18" s="74" t="str">
        <f t="shared" si="2"/>
        <v>,item_code</v>
      </c>
      <c r="Q18" s="74" t="str">
        <f t="shared" si="3"/>
        <v>TEXT</v>
      </c>
      <c r="R18" s="74" t="str">
        <f t="shared" si="4"/>
        <v/>
      </c>
      <c r="S18" s="74" t="str">
        <f t="shared" si="9"/>
        <v>NOT NULL</v>
      </c>
      <c r="T18" s="74" t="str">
        <f t="shared" si="10"/>
        <v>-- 検査名_施設固有コード</v>
      </c>
      <c r="U18" s="4"/>
      <c r="AA18" s="4"/>
      <c r="AB18" s="4"/>
      <c r="AC18" s="4"/>
      <c r="AD18" s="4"/>
      <c r="AE18" s="4"/>
      <c r="AF18" s="4"/>
      <c r="AG18" s="4"/>
      <c r="AH18" s="4"/>
      <c r="AI18" s="4"/>
      <c r="AJ18" s="74" t="str">
        <f>IF(E18="○",IF(COUNTA(E$13:E18)=1,"",",")&amp;D18,"")</f>
        <v>,item_code</v>
      </c>
      <c r="AK18" s="4"/>
      <c r="AL18" s="4"/>
      <c r="AM18" s="4"/>
      <c r="AN18" s="4"/>
      <c r="AO18" s="4"/>
      <c r="AP18" s="4"/>
      <c r="AQ18" s="4"/>
      <c r="AR18" s="4"/>
      <c r="AS18" s="74" t="str">
        <f>"COMMENT ON COLUMN "&amp;エンティティ一覧!$O$2&amp;"."&amp;D$8&amp;"."&amp;D18&amp;" IS '"&amp;C18&amp;"';"</f>
        <v>COMMENT ON COLUMN milscm_2023_007.sgioy_202310_mt_kensa.item_code IS '検査名_施設固有コード';</v>
      </c>
    </row>
    <row r="19" spans="1:52" s="25" customFormat="1">
      <c r="A19" s="4"/>
      <c r="B19" s="21">
        <f t="shared" si="0"/>
        <v>7</v>
      </c>
      <c r="C19" s="6" t="s">
        <v>3891</v>
      </c>
      <c r="D19" s="6" t="s">
        <v>3892</v>
      </c>
      <c r="E19" s="8"/>
      <c r="F19" s="7" t="s">
        <v>3283</v>
      </c>
      <c r="G19" s="7" t="str">
        <f t="shared" si="1"/>
        <v>text</v>
      </c>
      <c r="H19" s="65"/>
      <c r="I19" s="8" t="s">
        <v>127</v>
      </c>
      <c r="J19" s="11"/>
      <c r="N19" s="74"/>
      <c r="O19" s="74"/>
      <c r="P19" s="74" t="str">
        <f t="shared" si="2"/>
        <v>,m_unit</v>
      </c>
      <c r="Q19" s="74" t="str">
        <f t="shared" si="3"/>
        <v>TEXT</v>
      </c>
      <c r="R19" s="74" t="str">
        <f t="shared" si="4"/>
        <v/>
      </c>
      <c r="S19" s="74" t="str">
        <f t="shared" si="9"/>
        <v>NOT NULL</v>
      </c>
      <c r="T19" s="74" t="str">
        <f t="shared" si="10"/>
        <v>-- 一般単位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milscm_2023_007.sgioy_202310_mt_kensa.m_unit IS '一般単位';</v>
      </c>
    </row>
    <row r="20" spans="1:52" s="25" customFormat="1" ht="18" thickBot="1">
      <c r="A20" s="4"/>
      <c r="B20" s="64">
        <f t="shared" si="0"/>
        <v>8</v>
      </c>
      <c r="C20" s="28" t="s">
        <v>3894</v>
      </c>
      <c r="D20" s="28" t="s">
        <v>3895</v>
      </c>
      <c r="E20" s="29"/>
      <c r="F20" s="56" t="s">
        <v>3878</v>
      </c>
      <c r="G20" s="56" t="str">
        <f t="shared" si="1"/>
        <v>numeric</v>
      </c>
      <c r="H20" s="66"/>
      <c r="I20" s="29"/>
      <c r="J20" s="67"/>
      <c r="N20" s="74"/>
      <c r="O20" s="74"/>
      <c r="P20" s="74" t="str">
        <f t="shared" si="2"/>
        <v>,rate</v>
      </c>
      <c r="Q20" s="74" t="str">
        <f t="shared" si="3"/>
        <v>NUMERIC</v>
      </c>
      <c r="R20" s="74" t="str">
        <f t="shared" si="4"/>
        <v/>
      </c>
      <c r="S20" s="74" t="str">
        <f t="shared" si="9"/>
        <v/>
      </c>
      <c r="T20" s="74" t="str">
        <f t="shared" si="10"/>
        <v>-- 換算率</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milscm_2023_007.sgioy_202310_mt_kensa.rate IS '換算率';</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conditionalFormatting sqref="D14">
    <cfRule type="duplicateValues" dxfId="5" priority="6"/>
  </conditionalFormatting>
  <conditionalFormatting sqref="D16">
    <cfRule type="duplicateValues" dxfId="4" priority="5"/>
  </conditionalFormatting>
  <conditionalFormatting sqref="D13">
    <cfRule type="duplicateValues" dxfId="3" priority="4"/>
  </conditionalFormatting>
  <conditionalFormatting sqref="D14">
    <cfRule type="duplicateValues" dxfId="2" priority="3"/>
  </conditionalFormatting>
  <conditionalFormatting sqref="D15">
    <cfRule type="duplicateValues" dxfId="1" priority="2"/>
  </conditionalFormatting>
  <conditionalFormatting sqref="D15">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ENT_31_A1-02</v>
      </c>
      <c r="E6" s="244"/>
      <c r="F6" s="244"/>
      <c r="G6" s="244"/>
      <c r="H6" s="244"/>
      <c r="I6" s="244"/>
      <c r="J6" s="245"/>
    </row>
    <row r="7" spans="1:45">
      <c r="B7" s="233" t="s">
        <v>115</v>
      </c>
      <c r="C7" s="234"/>
      <c r="D7" s="235" t="s">
        <v>3708</v>
      </c>
      <c r="E7" s="236"/>
      <c r="F7" s="236"/>
      <c r="G7" s="236"/>
      <c r="H7" s="236"/>
      <c r="I7" s="236"/>
      <c r="J7" s="237"/>
    </row>
    <row r="8" spans="1:45">
      <c r="B8" s="233" t="s">
        <v>116</v>
      </c>
      <c r="C8" s="234"/>
      <c r="D8" s="235" t="str">
        <f>エンティティ一覧!AE2&amp;"_"&amp;D5&amp;"_mart_shohou"</f>
        <v>sgioy_202310_base_mart_shohou</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バックアップ_処方データテーブルから対象患者で絞り込んだ結果を格納するテーブル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ENT_31_A1-03</v>
      </c>
      <c r="E6" s="244"/>
      <c r="F6" s="244"/>
      <c r="G6" s="244"/>
      <c r="H6" s="244"/>
      <c r="I6" s="244"/>
      <c r="J6" s="245"/>
    </row>
    <row r="7" spans="1:45">
      <c r="B7" s="233" t="s">
        <v>115</v>
      </c>
      <c r="C7" s="234"/>
      <c r="D7" s="235" t="s">
        <v>3709</v>
      </c>
      <c r="E7" s="236"/>
      <c r="F7" s="236"/>
      <c r="G7" s="236"/>
      <c r="H7" s="236"/>
      <c r="I7" s="236"/>
      <c r="J7" s="237"/>
    </row>
    <row r="8" spans="1:45">
      <c r="B8" s="233" t="s">
        <v>116</v>
      </c>
      <c r="C8" s="234"/>
      <c r="D8" s="235" t="str">
        <f>エンティティ一覧!AE2&amp;"_"&amp;D5&amp;"_mart_shinryou_koui"</f>
        <v>sgioy_202310_base_mart_shinryou_koui</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バックアップ_診療行為データテーブルから対象患者で絞り込んだ結果を格納するテーブル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ENT_31_A1-04</v>
      </c>
      <c r="E6" s="244"/>
      <c r="F6" s="244"/>
      <c r="G6" s="244"/>
      <c r="H6" s="244"/>
      <c r="I6" s="244"/>
      <c r="J6" s="245"/>
    </row>
    <row r="7" spans="1:45">
      <c r="B7" s="233" t="s">
        <v>115</v>
      </c>
      <c r="C7" s="234"/>
      <c r="D7" s="235" t="s">
        <v>3822</v>
      </c>
      <c r="E7" s="236"/>
      <c r="F7" s="236"/>
      <c r="G7" s="236"/>
      <c r="H7" s="236"/>
      <c r="I7" s="236"/>
      <c r="J7" s="237"/>
    </row>
    <row r="8" spans="1:45">
      <c r="B8" s="233" t="s">
        <v>116</v>
      </c>
      <c r="C8" s="234"/>
      <c r="D8" s="235" t="str">
        <f>エンティティ一覧!AE2&amp;"_"&amp;D5&amp;"_mart_shikkan"</f>
        <v>sgioy_202310_base_mart_shikkan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バックアップ_疾患データテーブルから対象患者で絞り込んだ結果を格納するテーブル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2.2">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ht="34.799999999999997">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ENT_31_A1-06</v>
      </c>
      <c r="E6" s="244"/>
      <c r="F6" s="244"/>
      <c r="G6" s="244"/>
      <c r="H6" s="244"/>
      <c r="I6" s="244"/>
      <c r="J6" s="245"/>
    </row>
    <row r="7" spans="1:45">
      <c r="B7" s="233" t="s">
        <v>115</v>
      </c>
      <c r="C7" s="234"/>
      <c r="D7" s="235" t="s">
        <v>3710</v>
      </c>
      <c r="E7" s="236"/>
      <c r="F7" s="236"/>
      <c r="G7" s="236"/>
      <c r="H7" s="236"/>
      <c r="I7" s="236"/>
      <c r="J7" s="237"/>
    </row>
    <row r="8" spans="1:45">
      <c r="B8" s="233" t="s">
        <v>116</v>
      </c>
      <c r="C8" s="234"/>
      <c r="D8" s="235" t="str">
        <f>エンティティ一覧!AE2&amp;"_"&amp;D5&amp;"_mart_nyu_tai_in"</f>
        <v>sgioy_202310_base_mart_nyu_tai_in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バックアップ_入院退院データテーブルから対象患者で絞り込んだ結果を格納するテーブル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5.4"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ENT_31_A1-14</v>
      </c>
      <c r="E6" s="244"/>
      <c r="F6" s="244"/>
      <c r="G6" s="244"/>
      <c r="H6" s="244"/>
      <c r="I6" s="244"/>
      <c r="J6" s="245"/>
    </row>
    <row r="7" spans="1:45">
      <c r="B7" s="233" t="s">
        <v>115</v>
      </c>
      <c r="C7" s="234"/>
      <c r="D7" s="235" t="s">
        <v>3711</v>
      </c>
      <c r="E7" s="236"/>
      <c r="F7" s="236"/>
      <c r="G7" s="236"/>
      <c r="H7" s="236"/>
      <c r="I7" s="236"/>
      <c r="J7" s="237"/>
    </row>
    <row r="8" spans="1:45">
      <c r="B8" s="233" t="s">
        <v>116</v>
      </c>
      <c r="C8" s="234"/>
      <c r="D8" s="235" t="str">
        <f>エンティティ一覧!AE2&amp;"_"&amp;D5&amp;"_mart_patient_basic"</f>
        <v>sgioy_202310_base_mart_patient_basic</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バックアップ_患者基本データテーブルから対象患者で絞り込んだ結果を格納するテーブル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ht="34.799999999999997">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2.2">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ENT_31_A6-02</v>
      </c>
      <c r="E6" s="244"/>
      <c r="F6" s="244"/>
      <c r="G6" s="244"/>
      <c r="H6" s="244"/>
      <c r="I6" s="244"/>
      <c r="J6" s="245"/>
    </row>
    <row r="7" spans="1:45">
      <c r="B7" s="233" t="s">
        <v>115</v>
      </c>
      <c r="C7" s="234"/>
      <c r="D7" s="235" t="s">
        <v>3712</v>
      </c>
      <c r="E7" s="236"/>
      <c r="F7" s="236"/>
      <c r="G7" s="236"/>
      <c r="H7" s="236"/>
      <c r="I7" s="236"/>
      <c r="J7" s="237"/>
    </row>
    <row r="8" spans="1:45">
      <c r="B8" s="233" t="s">
        <v>116</v>
      </c>
      <c r="C8" s="234"/>
      <c r="D8" s="235" t="str">
        <f>エンティティ一覧!AE2&amp;"_"&amp;D5&amp;"_text_mml_common"</f>
        <v>sgioy_202310_base_text_mml_common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バックアップ_MML共通テーブルから対象患者で絞り込んだ結果を格納するテーブル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4287</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ENT_31_A6-03</v>
      </c>
      <c r="E6" s="244"/>
      <c r="F6" s="244"/>
      <c r="G6" s="244"/>
      <c r="H6" s="244"/>
      <c r="I6" s="244"/>
      <c r="J6" s="245"/>
    </row>
    <row r="7" spans="1:45">
      <c r="B7" s="233" t="s">
        <v>115</v>
      </c>
      <c r="C7" s="234"/>
      <c r="D7" s="235" t="s">
        <v>3713</v>
      </c>
      <c r="E7" s="236"/>
      <c r="F7" s="236"/>
      <c r="G7" s="236"/>
      <c r="H7" s="236"/>
      <c r="I7" s="236"/>
      <c r="J7" s="237"/>
    </row>
    <row r="8" spans="1:45">
      <c r="B8" s="233" t="s">
        <v>116</v>
      </c>
      <c r="C8" s="234"/>
      <c r="D8" s="235" t="str">
        <f>エンティティ一覧!AE2&amp;"_"&amp;D5&amp;"_text_mml_mmlrd_body"</f>
        <v>sgioy_202310_base_text_mml_mmlrd_body</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ENT_31_A6-04</v>
      </c>
      <c r="E6" s="244"/>
      <c r="F6" s="244"/>
      <c r="G6" s="244"/>
      <c r="H6" s="244"/>
      <c r="I6" s="244"/>
      <c r="J6" s="245"/>
    </row>
    <row r="7" spans="1:45">
      <c r="B7" s="233" t="s">
        <v>115</v>
      </c>
      <c r="C7" s="234"/>
      <c r="D7" s="235" t="s">
        <v>3714</v>
      </c>
      <c r="E7" s="236"/>
      <c r="F7" s="236"/>
      <c r="G7" s="236"/>
      <c r="H7" s="236"/>
      <c r="I7" s="236"/>
      <c r="J7" s="237"/>
    </row>
    <row r="8" spans="1:45">
      <c r="B8" s="233" t="s">
        <v>116</v>
      </c>
      <c r="C8" s="234"/>
      <c r="D8" s="235" t="str">
        <f>エンティティ一覧!AE2&amp;"_"&amp;D5&amp;"_text_mml_mmlrd_byomei"</f>
        <v>sgioy_202310_base_text_mml_mmlrd_byomei</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4.799999999999997">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4284</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8" thickBot="1">
      <c r="A22" s="4"/>
      <c r="B22" s="27">
        <f>ROW()-12</f>
        <v>10</v>
      </c>
      <c r="C22" s="57" t="s">
        <v>2806</v>
      </c>
      <c r="D22" s="57" t="s">
        <v>4283</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ENT_31_A6-18</v>
      </c>
      <c r="E6" s="244"/>
      <c r="F6" s="244"/>
      <c r="G6" s="244"/>
      <c r="H6" s="244"/>
      <c r="I6" s="244"/>
      <c r="J6" s="245"/>
    </row>
    <row r="7" spans="1:45">
      <c r="B7" s="233" t="s">
        <v>115</v>
      </c>
      <c r="C7" s="234"/>
      <c r="D7" s="235" t="s">
        <v>4061</v>
      </c>
      <c r="E7" s="236"/>
      <c r="F7" s="236"/>
      <c r="G7" s="236"/>
      <c r="H7" s="236"/>
      <c r="I7" s="236"/>
      <c r="J7" s="237"/>
    </row>
    <row r="8" spans="1:45">
      <c r="B8" s="233" t="s">
        <v>116</v>
      </c>
      <c r="C8" s="234"/>
      <c r="D8" s="235" t="str">
        <f>エンティティ一覧!AE2&amp;"_"&amp;D5&amp;"_text_mml_mmllb_body"</f>
        <v>sgioy_202310_base_text_mml_mmllb_body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3950</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3954</v>
      </c>
      <c r="E18" s="8"/>
      <c r="F18" s="7" t="s">
        <v>3887</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3887</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3955</v>
      </c>
      <c r="E20" s="8"/>
      <c r="F20" s="7" t="s">
        <v>3887</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3887</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4286</v>
      </c>
      <c r="D22" s="6" t="s">
        <v>2947</v>
      </c>
      <c r="E22" s="8"/>
      <c r="F22" s="7" t="s">
        <v>3887</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3887</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3956</v>
      </c>
      <c r="E24" s="8"/>
      <c r="F24" s="7" t="s">
        <v>3887</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3957</v>
      </c>
      <c r="E25" s="8"/>
      <c r="F25" s="7" t="s">
        <v>3887</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3958</v>
      </c>
      <c r="E26" s="8"/>
      <c r="F26" s="7" t="s">
        <v>3887</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3959</v>
      </c>
      <c r="E27" s="8"/>
      <c r="F27" s="7" t="s">
        <v>3887</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3960</v>
      </c>
      <c r="E28" s="8"/>
      <c r="F28" s="7" t="s">
        <v>3887</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3961</v>
      </c>
      <c r="E29" s="8"/>
      <c r="F29" s="7" t="s">
        <v>3887</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3962</v>
      </c>
      <c r="E30" s="8"/>
      <c r="F30" s="7" t="s">
        <v>3887</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3963</v>
      </c>
      <c r="E31" s="8"/>
      <c r="F31" s="7" t="s">
        <v>3887</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3887</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3964</v>
      </c>
      <c r="E33" s="8"/>
      <c r="F33" s="7" t="s">
        <v>3887</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3887</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3887</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3887</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3965</v>
      </c>
      <c r="D37" s="6" t="s">
        <v>3966</v>
      </c>
      <c r="E37" s="8"/>
      <c r="F37" s="7" t="s">
        <v>3887</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3967</v>
      </c>
      <c r="D38" s="6" t="s">
        <v>3968</v>
      </c>
      <c r="E38" s="8"/>
      <c r="F38" s="7" t="s">
        <v>3887</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3969</v>
      </c>
      <c r="D39" s="6" t="s">
        <v>3970</v>
      </c>
      <c r="E39" s="8"/>
      <c r="F39" s="7" t="s">
        <v>3887</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3971</v>
      </c>
      <c r="D40" s="6" t="s">
        <v>3972</v>
      </c>
      <c r="E40" s="8"/>
      <c r="F40" s="7" t="s">
        <v>3887</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3973</v>
      </c>
      <c r="D41" s="6" t="s">
        <v>3974</v>
      </c>
      <c r="E41" s="8"/>
      <c r="F41" s="7" t="s">
        <v>3887</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0">
      <c r="A42" s="4"/>
      <c r="B42" s="21">
        <f t="shared" si="2"/>
        <v>30</v>
      </c>
      <c r="C42" s="6" t="s">
        <v>3975</v>
      </c>
      <c r="D42" s="6" t="s">
        <v>3976</v>
      </c>
      <c r="E42" s="8"/>
      <c r="F42" s="7" t="s">
        <v>3887</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3977</v>
      </c>
      <c r="D43" s="6" t="s">
        <v>3978</v>
      </c>
      <c r="E43" s="8"/>
      <c r="F43" s="7" t="s">
        <v>3887</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3979</v>
      </c>
      <c r="D44" s="6" t="s">
        <v>3980</v>
      </c>
      <c r="E44" s="8"/>
      <c r="F44" s="7" t="s">
        <v>3887</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3981</v>
      </c>
      <c r="D45" s="6" t="s">
        <v>3982</v>
      </c>
      <c r="E45" s="8"/>
      <c r="F45" s="7" t="s">
        <v>3887</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8" thickBot="1">
      <c r="A46" s="4"/>
      <c r="B46" s="27">
        <f>ROW()-12</f>
        <v>34</v>
      </c>
      <c r="C46" s="57" t="s">
        <v>1584</v>
      </c>
      <c r="D46" s="57" t="s">
        <v>3983</v>
      </c>
      <c r="E46" s="56"/>
      <c r="F46" s="56" t="s">
        <v>3887</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ENT_31_A6-19</v>
      </c>
      <c r="E6" s="244"/>
      <c r="F6" s="244"/>
      <c r="G6" s="244"/>
      <c r="H6" s="244"/>
      <c r="I6" s="244"/>
      <c r="J6" s="245"/>
    </row>
    <row r="7" spans="1:45">
      <c r="B7" s="233" t="s">
        <v>115</v>
      </c>
      <c r="C7" s="234"/>
      <c r="D7" s="235" t="s">
        <v>4062</v>
      </c>
      <c r="E7" s="236"/>
      <c r="F7" s="236"/>
      <c r="G7" s="236"/>
      <c r="H7" s="236"/>
      <c r="I7" s="236"/>
      <c r="J7" s="237"/>
    </row>
    <row r="8" spans="1:45">
      <c r="B8" s="233" t="s">
        <v>116</v>
      </c>
      <c r="C8" s="234"/>
      <c r="D8" s="235" t="str">
        <f>エンティティ一覧!AE2&amp;"_"&amp;D5&amp;"_text_mml_mmllb_memo"</f>
        <v>sgioy_202310_base_text_mml_mmllb_memo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3950</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3984</v>
      </c>
      <c r="D18" s="6" t="s">
        <v>3985</v>
      </c>
      <c r="E18" s="8" t="s">
        <v>127</v>
      </c>
      <c r="F18" s="7" t="s">
        <v>3950</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3986</v>
      </c>
      <c r="D19" s="6" t="s">
        <v>3983</v>
      </c>
      <c r="E19" s="8"/>
      <c r="F19" s="7" t="s">
        <v>3887</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3987</v>
      </c>
      <c r="D20" s="6" t="s">
        <v>3988</v>
      </c>
      <c r="E20" s="8"/>
      <c r="F20" s="7" t="s">
        <v>3887</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3989</v>
      </c>
      <c r="D21" s="6" t="s">
        <v>3061</v>
      </c>
      <c r="E21" s="8"/>
      <c r="F21" s="7" t="s">
        <v>3887</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8" thickBot="1">
      <c r="A22" s="4"/>
      <c r="B22" s="27">
        <f>ROW()-12</f>
        <v>10</v>
      </c>
      <c r="C22" s="57" t="s">
        <v>3990</v>
      </c>
      <c r="D22" s="57" t="s">
        <v>3991</v>
      </c>
      <c r="E22" s="56"/>
      <c r="F22" s="56" t="s">
        <v>3887</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ENT_31_A6-20</v>
      </c>
      <c r="E6" s="244"/>
      <c r="F6" s="244"/>
      <c r="G6" s="244"/>
      <c r="H6" s="244"/>
      <c r="I6" s="244"/>
      <c r="J6" s="245"/>
    </row>
    <row r="7" spans="1:45">
      <c r="B7" s="233" t="s">
        <v>115</v>
      </c>
      <c r="C7" s="234"/>
      <c r="D7" s="235" t="s">
        <v>4063</v>
      </c>
      <c r="E7" s="236"/>
      <c r="F7" s="236"/>
      <c r="G7" s="236"/>
      <c r="H7" s="236"/>
      <c r="I7" s="236"/>
      <c r="J7" s="237"/>
    </row>
    <row r="8" spans="1:45">
      <c r="B8" s="233" t="s">
        <v>116</v>
      </c>
      <c r="C8" s="234"/>
      <c r="D8" s="235" t="str">
        <f>エンティティ一覧!AE2&amp;"_"&amp;D5&amp;"_text_mml_mmllb_labo_test"</f>
        <v>sgioy_202310_base_text_mml_mmllb_labo_test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3950</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3887</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3887</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3994</v>
      </c>
      <c r="D21" s="6" t="s">
        <v>1615</v>
      </c>
      <c r="E21" s="8"/>
      <c r="F21" s="7" t="s">
        <v>3887</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8" thickBot="1">
      <c r="A22" s="4"/>
      <c r="B22" s="27">
        <f>ROW()-12</f>
        <v>10</v>
      </c>
      <c r="C22" s="57" t="s">
        <v>1616</v>
      </c>
      <c r="D22" s="57" t="s">
        <v>3995</v>
      </c>
      <c r="E22" s="56"/>
      <c r="F22" s="56" t="s">
        <v>3887</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ENT_31_A6-21</v>
      </c>
      <c r="E6" s="244"/>
      <c r="F6" s="244"/>
      <c r="G6" s="244"/>
      <c r="H6" s="244"/>
      <c r="I6" s="244"/>
      <c r="J6" s="245"/>
    </row>
    <row r="7" spans="1:45">
      <c r="B7" s="233" t="s">
        <v>115</v>
      </c>
      <c r="C7" s="234"/>
      <c r="D7" s="235" t="s">
        <v>4064</v>
      </c>
      <c r="E7" s="236"/>
      <c r="F7" s="236"/>
      <c r="G7" s="236"/>
      <c r="H7" s="236"/>
      <c r="I7" s="236"/>
      <c r="J7" s="237"/>
    </row>
    <row r="8" spans="1:45">
      <c r="B8" s="233" t="s">
        <v>116</v>
      </c>
      <c r="C8" s="234"/>
      <c r="D8" s="235" t="str">
        <f>エンティティ一覧!AE2&amp;"_"&amp;D5&amp;"_text_mml_mmllb_spc_memo"</f>
        <v>sgioy_202310_base_text_mml_mmllb_spc_memo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3950</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3996</v>
      </c>
      <c r="D19" s="6" t="s">
        <v>3997</v>
      </c>
      <c r="E19" s="8" t="s">
        <v>127</v>
      </c>
      <c r="F19" s="7" t="s">
        <v>3950</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3998</v>
      </c>
      <c r="D20" s="6" t="s">
        <v>3999</v>
      </c>
      <c r="E20" s="8"/>
      <c r="F20" s="7" t="s">
        <v>3887</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4000</v>
      </c>
      <c r="D21" s="6" t="s">
        <v>4001</v>
      </c>
      <c r="E21" s="8"/>
      <c r="F21" s="7" t="s">
        <v>3887</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4002</v>
      </c>
      <c r="D22" s="6" t="s">
        <v>4003</v>
      </c>
      <c r="E22" s="8"/>
      <c r="F22" s="7" t="s">
        <v>3887</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8" thickBot="1">
      <c r="A23" s="4"/>
      <c r="B23" s="27">
        <f>ROW()-12</f>
        <v>11</v>
      </c>
      <c r="C23" s="57" t="s">
        <v>4004</v>
      </c>
      <c r="D23" s="57" t="s">
        <v>4005</v>
      </c>
      <c r="E23" s="56"/>
      <c r="F23" s="56" t="s">
        <v>3887</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ENT_31_A6-22</v>
      </c>
      <c r="E6" s="244"/>
      <c r="F6" s="244"/>
      <c r="G6" s="244"/>
      <c r="H6" s="244"/>
      <c r="I6" s="244"/>
      <c r="J6" s="245"/>
    </row>
    <row r="7" spans="1:45">
      <c r="B7" s="233" t="s">
        <v>115</v>
      </c>
      <c r="C7" s="234"/>
      <c r="D7" s="235" t="s">
        <v>4065</v>
      </c>
      <c r="E7" s="236"/>
      <c r="F7" s="236"/>
      <c r="G7" s="236"/>
      <c r="H7" s="236"/>
      <c r="I7" s="236"/>
      <c r="J7" s="237"/>
    </row>
    <row r="8" spans="1:45">
      <c r="B8" s="233" t="s">
        <v>116</v>
      </c>
      <c r="C8" s="234"/>
      <c r="D8" s="235" t="str">
        <f>エンティティ一覧!AE2&amp;"_"&amp;D5&amp;"_text_mml_mmllb_item"</f>
        <v>sgioy_202310_base_text_mml_mmllb_item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3950</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4006</v>
      </c>
      <c r="D19" s="6" t="s">
        <v>4007</v>
      </c>
      <c r="E19" s="8" t="s">
        <v>127</v>
      </c>
      <c r="F19" s="7" t="s">
        <v>3950</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3888</v>
      </c>
      <c r="D20" s="6" t="s">
        <v>1628</v>
      </c>
      <c r="E20" s="8"/>
      <c r="F20" s="7" t="s">
        <v>3887</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3889</v>
      </c>
      <c r="D21" s="6" t="s">
        <v>3890</v>
      </c>
      <c r="E21" s="8"/>
      <c r="F21" s="7" t="s">
        <v>3887</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4008</v>
      </c>
      <c r="D22" s="6" t="s">
        <v>4009</v>
      </c>
      <c r="E22" s="8"/>
      <c r="F22" s="7" t="s">
        <v>3887</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4010</v>
      </c>
      <c r="D23" s="6" t="s">
        <v>4011</v>
      </c>
      <c r="E23" s="8"/>
      <c r="F23" s="7" t="s">
        <v>3887</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4012</v>
      </c>
      <c r="D24" s="6" t="s">
        <v>4013</v>
      </c>
      <c r="E24" s="8"/>
      <c r="F24" s="7" t="s">
        <v>3887</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4014</v>
      </c>
      <c r="D25" s="6" t="s">
        <v>4015</v>
      </c>
      <c r="E25" s="8"/>
      <c r="F25" s="7" t="s">
        <v>3887</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4016</v>
      </c>
      <c r="D26" s="6" t="s">
        <v>4017</v>
      </c>
      <c r="E26" s="8"/>
      <c r="F26" s="7" t="s">
        <v>3887</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4018</v>
      </c>
      <c r="D27" s="6" t="s">
        <v>4019</v>
      </c>
      <c r="E27" s="8"/>
      <c r="F27" s="7" t="s">
        <v>3887</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4020</v>
      </c>
      <c r="D28" s="6" t="s">
        <v>1644</v>
      </c>
      <c r="E28" s="8"/>
      <c r="F28" s="7" t="s">
        <v>3887</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4021</v>
      </c>
      <c r="D29" s="6" t="s">
        <v>4022</v>
      </c>
      <c r="E29" s="8"/>
      <c r="F29" s="7" t="s">
        <v>3887</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4023</v>
      </c>
      <c r="D30" s="6" t="s">
        <v>4024</v>
      </c>
      <c r="E30" s="8"/>
      <c r="F30" s="7" t="s">
        <v>3887</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4025</v>
      </c>
      <c r="D31" s="6" t="s">
        <v>4026</v>
      </c>
      <c r="E31" s="8"/>
      <c r="F31" s="7" t="s">
        <v>3887</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69.599999999999994">
      <c r="A32" s="4"/>
      <c r="B32" s="21">
        <f t="shared" si="2"/>
        <v>20</v>
      </c>
      <c r="C32" s="6" t="s">
        <v>4027</v>
      </c>
      <c r="D32" s="6" t="s">
        <v>4028</v>
      </c>
      <c r="E32" s="8"/>
      <c r="F32" s="7" t="s">
        <v>3887</v>
      </c>
      <c r="G32" s="7" t="str">
        <f t="shared" si="3"/>
        <v>text</v>
      </c>
      <c r="H32" s="26"/>
      <c r="I32" s="10"/>
      <c r="J32" s="11" t="s">
        <v>4029</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4030</v>
      </c>
      <c r="D33" s="6" t="s">
        <v>1646</v>
      </c>
      <c r="E33" s="8"/>
      <c r="F33" s="7" t="s">
        <v>3887</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4031</v>
      </c>
      <c r="D34" s="6" t="s">
        <v>4032</v>
      </c>
      <c r="E34" s="8"/>
      <c r="F34" s="7" t="s">
        <v>3887</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4033</v>
      </c>
      <c r="D35" s="6" t="s">
        <v>4034</v>
      </c>
      <c r="E35" s="8"/>
      <c r="F35" s="7" t="s">
        <v>3887</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4035</v>
      </c>
      <c r="D36" s="6" t="s">
        <v>4036</v>
      </c>
      <c r="E36" s="8"/>
      <c r="F36" s="7" t="s">
        <v>3887</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69.599999999999994">
      <c r="A37" s="4"/>
      <c r="B37" s="21">
        <f t="shared" si="2"/>
        <v>25</v>
      </c>
      <c r="C37" s="6" t="s">
        <v>4037</v>
      </c>
      <c r="D37" s="6" t="s">
        <v>4038</v>
      </c>
      <c r="E37" s="8"/>
      <c r="F37" s="7" t="s">
        <v>3887</v>
      </c>
      <c r="G37" s="7" t="str">
        <f t="shared" si="3"/>
        <v>text</v>
      </c>
      <c r="H37" s="26"/>
      <c r="I37" s="10"/>
      <c r="J37" s="11" t="s">
        <v>4029</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3887</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4039</v>
      </c>
      <c r="E39" s="8"/>
      <c r="F39" s="7" t="s">
        <v>3887</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4040</v>
      </c>
      <c r="E40" s="8"/>
      <c r="F40" s="7" t="s">
        <v>3887</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8" thickBot="1">
      <c r="A41" s="4"/>
      <c r="B41" s="27">
        <f>ROW()-12</f>
        <v>29</v>
      </c>
      <c r="C41" s="57" t="s">
        <v>1660</v>
      </c>
      <c r="D41" s="57" t="s">
        <v>4041</v>
      </c>
      <c r="E41" s="56"/>
      <c r="F41" s="56" t="s">
        <v>3887</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ENT_31_A6-23</v>
      </c>
      <c r="E6" s="244"/>
      <c r="F6" s="244"/>
      <c r="G6" s="244"/>
      <c r="H6" s="244"/>
      <c r="I6" s="244"/>
      <c r="J6" s="245"/>
    </row>
    <row r="7" spans="1:45">
      <c r="B7" s="233" t="s">
        <v>115</v>
      </c>
      <c r="C7" s="234"/>
      <c r="D7" s="235" t="s">
        <v>4066</v>
      </c>
      <c r="E7" s="236"/>
      <c r="F7" s="236"/>
      <c r="G7" s="236"/>
      <c r="H7" s="236"/>
      <c r="I7" s="236"/>
      <c r="J7" s="237"/>
    </row>
    <row r="8" spans="1:45">
      <c r="B8" s="233" t="s">
        <v>116</v>
      </c>
      <c r="C8" s="234"/>
      <c r="D8" s="235" t="str">
        <f>エンティティ一覧!AE2&amp;"_"&amp;D5&amp;"_text_mml_mmllb_item_memo"</f>
        <v>sgioy_202310_base_text_mml_mmllb_item_memo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3950</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4006</v>
      </c>
      <c r="D19" s="6" t="s">
        <v>4007</v>
      </c>
      <c r="E19" s="8" t="s">
        <v>127</v>
      </c>
      <c r="F19" s="7" t="s">
        <v>3950</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4042</v>
      </c>
      <c r="D20" s="6" t="s">
        <v>4043</v>
      </c>
      <c r="E20" s="8" t="s">
        <v>127</v>
      </c>
      <c r="F20" s="7" t="s">
        <v>3950</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4044</v>
      </c>
      <c r="D21" s="6" t="s">
        <v>4045</v>
      </c>
      <c r="E21" s="8"/>
      <c r="F21" s="7" t="s">
        <v>3887</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4046</v>
      </c>
      <c r="D22" s="6" t="s">
        <v>4047</v>
      </c>
      <c r="E22" s="8"/>
      <c r="F22" s="7" t="s">
        <v>3887</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4048</v>
      </c>
      <c r="D23" s="6" t="s">
        <v>4049</v>
      </c>
      <c r="E23" s="8"/>
      <c r="F23" s="7" t="s">
        <v>3887</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8" thickBot="1">
      <c r="A24" s="4"/>
      <c r="B24" s="27">
        <f>ROW()-12</f>
        <v>12</v>
      </c>
      <c r="C24" s="57" t="s">
        <v>4050</v>
      </c>
      <c r="D24" s="57" t="s">
        <v>4051</v>
      </c>
      <c r="E24" s="56"/>
      <c r="F24" s="56" t="s">
        <v>3887</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dimension ref="A1:AZ25"/>
  <sheetViews>
    <sheetView showGridLines="0" zoomScale="85" zoomScaleNormal="85" workbookViewId="0">
      <selection activeCell="C20" sqref="C2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ENT_31_A6-24</v>
      </c>
      <c r="E6" s="244"/>
      <c r="F6" s="244"/>
      <c r="G6" s="244"/>
      <c r="H6" s="244"/>
      <c r="I6" s="244"/>
      <c r="J6" s="245"/>
    </row>
    <row r="7" spans="1:45">
      <c r="B7" s="233" t="s">
        <v>115</v>
      </c>
      <c r="C7" s="234"/>
      <c r="D7" s="235" t="s">
        <v>3715</v>
      </c>
      <c r="E7" s="236"/>
      <c r="F7" s="236"/>
      <c r="G7" s="236"/>
      <c r="H7" s="236"/>
      <c r="I7" s="236"/>
      <c r="J7" s="237"/>
    </row>
    <row r="8" spans="1:45">
      <c r="B8" s="233" t="s">
        <v>116</v>
      </c>
      <c r="C8" s="234"/>
      <c r="D8" s="235" t="str">
        <f>エンティティ一覧!AE2&amp;"_"&amp;D5&amp;"_text_mml_mmlps_body"</f>
        <v>sgioy_202310_base_text_mml_mmlps_body</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ENT_31_A6-25</v>
      </c>
      <c r="E6" s="244"/>
      <c r="F6" s="244"/>
      <c r="G6" s="244"/>
      <c r="H6" s="244"/>
      <c r="I6" s="244"/>
      <c r="J6" s="245"/>
    </row>
    <row r="7" spans="1:45">
      <c r="B7" s="233" t="s">
        <v>115</v>
      </c>
      <c r="C7" s="234"/>
      <c r="D7" s="235" t="s">
        <v>3716</v>
      </c>
      <c r="E7" s="236"/>
      <c r="F7" s="236"/>
      <c r="G7" s="236"/>
      <c r="H7" s="236"/>
      <c r="I7" s="236"/>
      <c r="J7" s="237"/>
    </row>
    <row r="8" spans="1:45">
      <c r="B8" s="233" t="s">
        <v>116</v>
      </c>
      <c r="C8" s="234"/>
      <c r="D8" s="235" t="str">
        <f>エンティティ一覧!AE2&amp;"_"&amp;D5&amp;"_text_mml_mmlps_medication"</f>
        <v>sgioy_202310_base_text_mml_mmlps_medication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4.799999999999997">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ENT_31_A6-26</v>
      </c>
      <c r="E6" s="244"/>
      <c r="F6" s="244"/>
      <c r="G6" s="244"/>
      <c r="H6" s="244"/>
      <c r="I6" s="244"/>
      <c r="J6" s="245"/>
    </row>
    <row r="7" spans="1:45">
      <c r="B7" s="233" t="s">
        <v>115</v>
      </c>
      <c r="C7" s="234"/>
      <c r="D7" s="235" t="s">
        <v>3717</v>
      </c>
      <c r="E7" s="236"/>
      <c r="F7" s="236"/>
      <c r="G7" s="236"/>
      <c r="H7" s="236"/>
      <c r="I7" s="236"/>
      <c r="J7" s="237"/>
    </row>
    <row r="8" spans="1:45">
      <c r="B8" s="233" t="s">
        <v>116</v>
      </c>
      <c r="C8" s="234"/>
      <c r="D8" s="235" t="str">
        <f>エンティティ一覧!AE2&amp;"_"&amp;D5&amp;"_text_mml_mmlps_medicine"</f>
        <v>sgioy_202310_base_text_mml_mmlps_medicine</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ENT_31_C1-02</v>
      </c>
      <c r="E6" s="244"/>
      <c r="F6" s="244"/>
      <c r="G6" s="244"/>
      <c r="H6" s="244"/>
      <c r="I6" s="244"/>
      <c r="J6" s="245"/>
    </row>
    <row r="7" spans="1:45">
      <c r="B7" s="233" t="s">
        <v>115</v>
      </c>
      <c r="C7" s="234"/>
      <c r="D7" s="235" t="s">
        <v>308</v>
      </c>
      <c r="E7" s="236"/>
      <c r="F7" s="236"/>
      <c r="G7" s="236"/>
      <c r="H7" s="236"/>
      <c r="I7" s="236"/>
      <c r="J7" s="237"/>
    </row>
    <row r="8" spans="1:45">
      <c r="B8" s="233" t="s">
        <v>116</v>
      </c>
      <c r="C8" s="234"/>
      <c r="D8" s="235" t="str">
        <f>エンティティ一覧!AE2&amp;"_"&amp;D5&amp;"_merge_dpc_efn"</f>
        <v>sgioy_202310_base_merge_dpc_efn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2.2">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2.2">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8"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ENT_31_C1-03</v>
      </c>
      <c r="E6" s="244"/>
      <c r="F6" s="244"/>
      <c r="G6" s="244"/>
      <c r="H6" s="244"/>
      <c r="I6" s="244"/>
      <c r="J6" s="245"/>
    </row>
    <row r="7" spans="1:45">
      <c r="B7" s="233" t="s">
        <v>115</v>
      </c>
      <c r="C7" s="234"/>
      <c r="D7" s="235" t="s">
        <v>309</v>
      </c>
      <c r="E7" s="236"/>
      <c r="F7" s="236"/>
      <c r="G7" s="236"/>
      <c r="H7" s="236"/>
      <c r="I7" s="236"/>
      <c r="J7" s="237"/>
    </row>
    <row r="8" spans="1:45">
      <c r="B8" s="233" t="s">
        <v>116</v>
      </c>
      <c r="C8" s="234"/>
      <c r="D8" s="235" t="str">
        <f>エンティティ一覧!AE2&amp;"_"&amp;D5&amp;"_merge_dpc_efg"</f>
        <v>sgioy_202310_base_merge_dpc_efg</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2.2">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2.2">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8"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ENT_31_C1-05</v>
      </c>
      <c r="E6" s="244"/>
      <c r="F6" s="244"/>
      <c r="G6" s="244"/>
      <c r="H6" s="244"/>
      <c r="I6" s="244"/>
      <c r="J6" s="245"/>
    </row>
    <row r="7" spans="1:45">
      <c r="B7" s="233" t="s">
        <v>115</v>
      </c>
      <c r="C7" s="234"/>
      <c r="D7" s="235" t="s">
        <v>310</v>
      </c>
      <c r="E7" s="236"/>
      <c r="F7" s="236"/>
      <c r="G7" s="236"/>
      <c r="H7" s="236"/>
      <c r="I7" s="236"/>
      <c r="J7" s="237"/>
    </row>
    <row r="8" spans="1:45">
      <c r="B8" s="233" t="s">
        <v>116</v>
      </c>
      <c r="C8" s="234"/>
      <c r="D8" s="235" t="str">
        <f>エンティティ一覧!AE2&amp;"_"&amp;D5&amp;"_merge_dpc_ff1"</f>
        <v>sgioy_202310_base_merge_dpc_ff1</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バックアップ_DPC調査データ_様式1テーブルから対象患者で絞り込んだ結果を格納するテーブル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4138</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0">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4053</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4054</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ENT_31_C1-07</v>
      </c>
      <c r="E6" s="244"/>
      <c r="F6" s="244"/>
      <c r="G6" s="244"/>
      <c r="H6" s="244"/>
      <c r="I6" s="244"/>
      <c r="J6" s="245"/>
    </row>
    <row r="7" spans="1:45">
      <c r="B7" s="233" t="s">
        <v>115</v>
      </c>
      <c r="C7" s="234"/>
      <c r="D7" s="235" t="s">
        <v>311</v>
      </c>
      <c r="E7" s="236"/>
      <c r="F7" s="236"/>
      <c r="G7" s="236"/>
      <c r="H7" s="236"/>
      <c r="I7" s="236"/>
      <c r="J7" s="237"/>
    </row>
    <row r="8" spans="1:45">
      <c r="B8" s="233" t="s">
        <v>116</v>
      </c>
      <c r="C8" s="234"/>
      <c r="D8" s="235" t="str">
        <f>エンティティ一覧!AE2&amp;"_"&amp;D5&amp;"_merge_dpc_ff1_a006040"</f>
        <v>sgioy_202310_base_merge_dpc_ff1_a006040</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ENT_31_C1-08</v>
      </c>
      <c r="E6" s="244"/>
      <c r="F6" s="244"/>
      <c r="G6" s="244"/>
      <c r="H6" s="244"/>
      <c r="I6" s="244"/>
      <c r="J6" s="245"/>
    </row>
    <row r="7" spans="1:45">
      <c r="B7" s="233" t="s">
        <v>115</v>
      </c>
      <c r="C7" s="234"/>
      <c r="D7" s="235" t="s">
        <v>312</v>
      </c>
      <c r="E7" s="236"/>
      <c r="F7" s="236"/>
      <c r="G7" s="236"/>
      <c r="H7" s="236"/>
      <c r="I7" s="236"/>
      <c r="J7" s="237"/>
    </row>
    <row r="8" spans="1:45">
      <c r="B8" s="233" t="s">
        <v>116</v>
      </c>
      <c r="C8" s="234"/>
      <c r="D8" s="235" t="str">
        <f>エンティティ一覧!AE2&amp;"_"&amp;D5&amp;"_merge_dpc_ff1_a006050"</f>
        <v>sgioy_202310_base_merge_dpc_ff1_a006050</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dimension ref="A1:AZ46"/>
  <sheetViews>
    <sheetView showGridLines="0" topLeftCell="A8" zoomScale="85" zoomScaleNormal="85" workbookViewId="0">
      <selection activeCell="D24" sqref="D2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ENT_31_C4-03</v>
      </c>
      <c r="E6" s="244"/>
      <c r="F6" s="244"/>
      <c r="G6" s="244"/>
      <c r="H6" s="244"/>
      <c r="I6" s="244"/>
      <c r="J6" s="245"/>
    </row>
    <row r="7" spans="1:45">
      <c r="B7" s="233" t="s">
        <v>115</v>
      </c>
      <c r="C7" s="234"/>
      <c r="D7" s="235" t="s">
        <v>3693</v>
      </c>
      <c r="E7" s="236"/>
      <c r="F7" s="236"/>
      <c r="G7" s="236"/>
      <c r="H7" s="236"/>
      <c r="I7" s="236"/>
      <c r="J7" s="237"/>
    </row>
    <row r="8" spans="1:45">
      <c r="B8" s="233" t="s">
        <v>116</v>
      </c>
      <c r="C8" s="234"/>
      <c r="D8" s="235" t="str">
        <f>エンティティ一覧!AE2&amp;"_"&amp;D5&amp;"_merge_mml_rd_register"</f>
        <v>sgioy_202310_base_merge_mml_rd_register</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dimension ref="A1:AZ46"/>
  <sheetViews>
    <sheetView showGridLines="0" topLeftCell="A8" zoomScale="85" zoomScaleNormal="85" workbookViewId="0">
      <selection activeCell="D23" sqref="D23:D2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ENT_31_C4-04</v>
      </c>
      <c r="E6" s="244"/>
      <c r="F6" s="244"/>
      <c r="G6" s="244"/>
      <c r="H6" s="244"/>
      <c r="I6" s="244"/>
      <c r="J6" s="245"/>
    </row>
    <row r="7" spans="1:45">
      <c r="B7" s="233" t="s">
        <v>115</v>
      </c>
      <c r="C7" s="234"/>
      <c r="D7" s="235" t="s">
        <v>3694</v>
      </c>
      <c r="E7" s="236"/>
      <c r="F7" s="236"/>
      <c r="G7" s="236"/>
      <c r="H7" s="236"/>
      <c r="I7" s="236"/>
      <c r="J7" s="237"/>
    </row>
    <row r="8" spans="1:45">
      <c r="B8" s="233" t="s">
        <v>116</v>
      </c>
      <c r="C8" s="234"/>
      <c r="D8" s="235" t="str">
        <f>エンティティ一覧!AE2&amp;"_"&amp;D5&amp;"_merge_mml_rd_byomei"</f>
        <v>sgioy_202310_base_merge_mml_rd_byomei</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ENT_31_C4-06</v>
      </c>
      <c r="E6" s="244"/>
      <c r="F6" s="244"/>
      <c r="G6" s="244"/>
      <c r="H6" s="244"/>
      <c r="I6" s="244"/>
      <c r="J6" s="245"/>
    </row>
    <row r="7" spans="1:45">
      <c r="B7" s="233" t="s">
        <v>115</v>
      </c>
      <c r="C7" s="234"/>
      <c r="D7" s="235" t="s">
        <v>3695</v>
      </c>
      <c r="E7" s="236"/>
      <c r="F7" s="236"/>
      <c r="G7" s="236"/>
      <c r="H7" s="236"/>
      <c r="I7" s="236"/>
      <c r="J7" s="237"/>
    </row>
    <row r="8" spans="1:45">
      <c r="B8" s="233" t="s">
        <v>116</v>
      </c>
      <c r="C8" s="234"/>
      <c r="D8" s="235" t="str">
        <f>エンティティ一覧!AE2&amp;"_"&amp;D5&amp;"_merge_mml_pc_progress_course"</f>
        <v>sgioy_202310_base_merge_mml_pc_progress_course</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ENT_31_C4-07</v>
      </c>
      <c r="E6" s="244"/>
      <c r="F6" s="244"/>
      <c r="G6" s="244"/>
      <c r="H6" s="244"/>
      <c r="I6" s="244"/>
      <c r="J6" s="245"/>
    </row>
    <row r="7" spans="1:45">
      <c r="B7" s="233" t="s">
        <v>115</v>
      </c>
      <c r="C7" s="234"/>
      <c r="D7" s="235" t="s">
        <v>3696</v>
      </c>
      <c r="E7" s="236"/>
      <c r="F7" s="236"/>
      <c r="G7" s="236"/>
      <c r="H7" s="236"/>
      <c r="I7" s="236"/>
      <c r="J7" s="237"/>
    </row>
    <row r="8" spans="1:45">
      <c r="B8" s="233" t="s">
        <v>116</v>
      </c>
      <c r="C8" s="234"/>
      <c r="D8" s="235" t="str">
        <f>エンティティ一覧!AE2&amp;"_"&amp;D5&amp;"_merge_mml_pc_problem"</f>
        <v>sgioy_202310_base_merge_mml_pc_problem</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ENT_31_C4-08</v>
      </c>
      <c r="E6" s="244"/>
      <c r="F6" s="244"/>
      <c r="G6" s="244"/>
      <c r="H6" s="244"/>
      <c r="I6" s="244"/>
      <c r="J6" s="245"/>
    </row>
    <row r="7" spans="1:45">
      <c r="B7" s="233" t="s">
        <v>115</v>
      </c>
      <c r="C7" s="234"/>
      <c r="D7" s="235" t="s">
        <v>3697</v>
      </c>
      <c r="E7" s="236"/>
      <c r="F7" s="236"/>
      <c r="G7" s="236"/>
      <c r="H7" s="236"/>
      <c r="I7" s="236"/>
      <c r="J7" s="237"/>
    </row>
    <row r="8" spans="1:45">
      <c r="B8" s="233" t="s">
        <v>116</v>
      </c>
      <c r="C8" s="234"/>
      <c r="D8" s="235" t="str">
        <f>エンティティ一覧!AE2&amp;"_"&amp;D5&amp;"_merge_mml_pc_physical_exam"</f>
        <v>sgioy_202310_base_merge_mml_pc_physical_exam</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ENT_31_C4-15</v>
      </c>
      <c r="E6" s="244"/>
      <c r="F6" s="244"/>
      <c r="G6" s="244"/>
      <c r="H6" s="244"/>
      <c r="I6" s="244"/>
      <c r="J6" s="245"/>
    </row>
    <row r="7" spans="1:45">
      <c r="B7" s="233" t="s">
        <v>115</v>
      </c>
      <c r="C7" s="234"/>
      <c r="D7" s="235" t="s">
        <v>3698</v>
      </c>
      <c r="E7" s="236"/>
      <c r="F7" s="236"/>
      <c r="G7" s="236"/>
      <c r="H7" s="236"/>
      <c r="I7" s="236"/>
      <c r="J7" s="237"/>
    </row>
    <row r="8" spans="1:45">
      <c r="B8" s="233" t="s">
        <v>116</v>
      </c>
      <c r="C8" s="234"/>
      <c r="D8" s="235" t="str">
        <f>エンティティ一覧!AE2&amp;"_"&amp;D5&amp;"_merge_mml_pc_assessment"</f>
        <v>sgioy_202310_base_merge_mml_pc_assessment</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4082</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ENT_31_C4-22</v>
      </c>
      <c r="E6" s="244"/>
      <c r="F6" s="244"/>
      <c r="G6" s="244"/>
      <c r="H6" s="244"/>
      <c r="I6" s="244"/>
      <c r="J6" s="245"/>
    </row>
    <row r="7" spans="1:45">
      <c r="B7" s="233" t="s">
        <v>115</v>
      </c>
      <c r="C7" s="234"/>
      <c r="D7" s="235" t="s">
        <v>3699</v>
      </c>
      <c r="E7" s="236"/>
      <c r="F7" s="236"/>
      <c r="G7" s="236"/>
      <c r="H7" s="236"/>
      <c r="I7" s="236"/>
      <c r="J7" s="237"/>
    </row>
    <row r="8" spans="1:45">
      <c r="B8" s="233" t="s">
        <v>116</v>
      </c>
      <c r="C8" s="234"/>
      <c r="D8" s="235" t="str">
        <f>エンティティ一覧!AE2&amp;"_"&amp;D5&amp;"_merge_mml_pc_external_reference"</f>
        <v>sgioy_202310_base_merge_mml_pc_external_reference</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dimension ref="A1:AZ55"/>
  <sheetViews>
    <sheetView showGridLines="0" topLeftCell="A9"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ENT_31_C4-23</v>
      </c>
      <c r="E6" s="244"/>
      <c r="F6" s="244"/>
      <c r="G6" s="244"/>
      <c r="H6" s="244"/>
      <c r="I6" s="244"/>
      <c r="J6" s="245"/>
    </row>
    <row r="7" spans="1:45">
      <c r="B7" s="233" t="s">
        <v>115</v>
      </c>
      <c r="C7" s="234"/>
      <c r="D7" s="235" t="s">
        <v>3700</v>
      </c>
      <c r="E7" s="236"/>
      <c r="F7" s="236"/>
      <c r="G7" s="236"/>
      <c r="H7" s="236"/>
      <c r="I7" s="236"/>
      <c r="J7" s="237"/>
    </row>
    <row r="8" spans="1:45">
      <c r="B8" s="233" t="s">
        <v>116</v>
      </c>
      <c r="C8" s="234"/>
      <c r="D8" s="235" t="str">
        <f>エンティティ一覧!AE2&amp;"_"&amp;D5&amp;"_merge_mml_sm_summary"</f>
        <v>sgioy_202310_base_merge_mml_sm_summary</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ENT_31_C4-24</v>
      </c>
      <c r="E6" s="244"/>
      <c r="F6" s="244"/>
      <c r="G6" s="244"/>
      <c r="H6" s="244"/>
      <c r="I6" s="244"/>
      <c r="J6" s="245"/>
    </row>
    <row r="7" spans="1:45">
      <c r="B7" s="233" t="s">
        <v>115</v>
      </c>
      <c r="C7" s="234"/>
      <c r="D7" s="235" t="s">
        <v>3701</v>
      </c>
      <c r="E7" s="236"/>
      <c r="F7" s="236"/>
      <c r="G7" s="236"/>
      <c r="H7" s="236"/>
      <c r="I7" s="236"/>
      <c r="J7" s="237"/>
    </row>
    <row r="8" spans="1:45">
      <c r="B8" s="233" t="s">
        <v>116</v>
      </c>
      <c r="C8" s="234"/>
      <c r="D8" s="235" t="str">
        <f>エンティティ一覧!AE2&amp;"_"&amp;D5&amp;"_merge_mml_sm_out_patient"</f>
        <v>sgioy_202310_base_merge_mml_sm_out_patient</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ENT_31_C4-25</v>
      </c>
      <c r="E6" s="244"/>
      <c r="F6" s="244"/>
      <c r="G6" s="244"/>
      <c r="H6" s="244"/>
      <c r="I6" s="244"/>
      <c r="J6" s="245"/>
    </row>
    <row r="7" spans="1:45">
      <c r="B7" s="233" t="s">
        <v>115</v>
      </c>
      <c r="C7" s="234"/>
      <c r="D7" s="235" t="s">
        <v>3702</v>
      </c>
      <c r="E7" s="236"/>
      <c r="F7" s="236"/>
      <c r="G7" s="236"/>
      <c r="H7" s="236"/>
      <c r="I7" s="236"/>
      <c r="J7" s="237"/>
    </row>
    <row r="8" spans="1:45">
      <c r="B8" s="233" t="s">
        <v>116</v>
      </c>
      <c r="C8" s="234"/>
      <c r="D8" s="235" t="str">
        <f>エンティティ一覧!AE2&amp;"_"&amp;D5&amp;"_merge_mml_sm_in_patient"</f>
        <v>sgioy_202310_base_merge_mml_sm_in_patient</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4086</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ENT_31_C4-29</v>
      </c>
      <c r="E6" s="244"/>
      <c r="F6" s="244"/>
      <c r="G6" s="244"/>
      <c r="H6" s="244"/>
      <c r="I6" s="244"/>
      <c r="J6" s="245"/>
    </row>
    <row r="7" spans="1:45">
      <c r="B7" s="233" t="s">
        <v>115</v>
      </c>
      <c r="C7" s="234"/>
      <c r="D7" s="235" t="s">
        <v>3703</v>
      </c>
      <c r="E7" s="236"/>
      <c r="F7" s="236"/>
      <c r="G7" s="236"/>
      <c r="H7" s="236"/>
      <c r="I7" s="236"/>
      <c r="J7" s="237"/>
    </row>
    <row r="8" spans="1:45">
      <c r="B8" s="233" t="s">
        <v>116</v>
      </c>
      <c r="C8" s="234"/>
      <c r="D8" s="235" t="str">
        <f>エンティティ一覧!AE2&amp;"_"&amp;D5&amp;"_merge_mml_sm_clinical_course"</f>
        <v>sgioy_202310_base_merge_mml_sm_clinical_course</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ENT_31_C4-30</v>
      </c>
      <c r="E6" s="244"/>
      <c r="F6" s="244"/>
      <c r="G6" s="244"/>
      <c r="H6" s="244"/>
      <c r="I6" s="244"/>
      <c r="J6" s="245"/>
    </row>
    <row r="7" spans="1:45">
      <c r="B7" s="233" t="s">
        <v>115</v>
      </c>
      <c r="C7" s="234"/>
      <c r="D7" s="235" t="s">
        <v>3704</v>
      </c>
      <c r="E7" s="236"/>
      <c r="F7" s="236"/>
      <c r="G7" s="236"/>
      <c r="H7" s="236"/>
      <c r="I7" s="236"/>
      <c r="J7" s="237"/>
    </row>
    <row r="8" spans="1:45">
      <c r="B8" s="233" t="s">
        <v>116</v>
      </c>
      <c r="C8" s="234"/>
      <c r="D8" s="235" t="str">
        <f>エンティティ一覧!AE2&amp;"_"&amp;D5&amp;"_merge_mml_sm_test_results"</f>
        <v>sgioy_202310_base_merge_mml_sm_test_results</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ENT_31_C4-31</v>
      </c>
      <c r="E6" s="244"/>
      <c r="F6" s="244"/>
      <c r="G6" s="244"/>
      <c r="H6" s="244"/>
      <c r="I6" s="244"/>
      <c r="J6" s="245"/>
    </row>
    <row r="7" spans="1:45">
      <c r="B7" s="233" t="s">
        <v>115</v>
      </c>
      <c r="C7" s="234"/>
      <c r="D7" s="235" t="s">
        <v>3705</v>
      </c>
      <c r="E7" s="236"/>
      <c r="F7" s="236"/>
      <c r="G7" s="236"/>
      <c r="H7" s="236"/>
      <c r="I7" s="236"/>
      <c r="J7" s="237"/>
    </row>
    <row r="8" spans="1:45">
      <c r="B8" s="233" t="s">
        <v>116</v>
      </c>
      <c r="C8" s="234"/>
      <c r="D8" s="235" t="str">
        <f>エンティティ一覧!AE2&amp;"_"&amp;D5&amp;"_merge_mml_lb_test"</f>
        <v>sgioy_202310_base_merge_mml_lb_test</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dimension ref="A1:AZ48"/>
  <sheetViews>
    <sheetView showGridLines="0" topLeftCell="A17" zoomScale="85" zoomScaleNormal="85" workbookViewId="0">
      <selection activeCell="E24" sqref="E2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ENT_31_C4-33</v>
      </c>
      <c r="E6" s="244"/>
      <c r="F6" s="244"/>
      <c r="G6" s="244"/>
      <c r="H6" s="244"/>
      <c r="I6" s="244"/>
      <c r="J6" s="245"/>
    </row>
    <row r="7" spans="1:45">
      <c r="B7" s="233" t="s">
        <v>115</v>
      </c>
      <c r="C7" s="234"/>
      <c r="D7" s="235" t="s">
        <v>3706</v>
      </c>
      <c r="E7" s="236"/>
      <c r="F7" s="236"/>
      <c r="G7" s="236"/>
      <c r="H7" s="236"/>
      <c r="I7" s="236"/>
      <c r="J7" s="237"/>
    </row>
    <row r="8" spans="1:45">
      <c r="B8" s="233" t="s">
        <v>116</v>
      </c>
      <c r="C8" s="234"/>
      <c r="D8" s="235" t="str">
        <f>エンティティ一覧!AE2&amp;"_"&amp;D5&amp;"_merge_mml_lb_specimen"</f>
        <v>sgioy_202310_base_merge_mml_lb_specimen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31</v>
      </c>
      <c r="E4" s="220"/>
      <c r="F4" s="220"/>
      <c r="G4" s="220"/>
      <c r="H4" s="220"/>
      <c r="I4" s="220"/>
      <c r="J4" s="221"/>
    </row>
    <row r="5" spans="1:45">
      <c r="B5" s="233" t="s">
        <v>3719</v>
      </c>
      <c r="C5" s="234"/>
      <c r="D5" s="243" t="str">
        <f>VLOOKUP(D7,エンティティ一覧!A1:'エンティティ一覧'!AM10179,7,FALSE)</f>
        <v>base</v>
      </c>
      <c r="E5" s="244"/>
      <c r="F5" s="244"/>
      <c r="G5" s="244"/>
      <c r="H5" s="244"/>
      <c r="I5" s="244"/>
      <c r="J5" s="245"/>
    </row>
    <row r="6" spans="1:45">
      <c r="B6" s="233" t="s">
        <v>3720</v>
      </c>
      <c r="C6" s="234"/>
      <c r="D6" s="243" t="str">
        <f>VLOOKUP(D7,エンティティ一覧!A1:'エンティティ一覧'!AM10179,15,FALSE)</f>
        <v>ENT_31_C4-35</v>
      </c>
      <c r="E6" s="244"/>
      <c r="F6" s="244"/>
      <c r="G6" s="244"/>
      <c r="H6" s="244"/>
      <c r="I6" s="244"/>
      <c r="J6" s="245"/>
    </row>
    <row r="7" spans="1:45">
      <c r="B7" s="233" t="s">
        <v>115</v>
      </c>
      <c r="C7" s="234"/>
      <c r="D7" s="235" t="s">
        <v>3707</v>
      </c>
      <c r="E7" s="236"/>
      <c r="F7" s="236"/>
      <c r="G7" s="236"/>
      <c r="H7" s="236"/>
      <c r="I7" s="236"/>
      <c r="J7" s="237"/>
    </row>
    <row r="8" spans="1:45">
      <c r="B8" s="233" t="s">
        <v>116</v>
      </c>
      <c r="C8" s="234"/>
      <c r="D8" s="235" t="str">
        <f>エンティティ一覧!AE2&amp;"_"&amp;D5&amp;"_merge_mml_lb_item"</f>
        <v>sgioy_202310_base_merge_mml_lb_item</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2.2">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41</v>
      </c>
      <c r="E4" s="220"/>
      <c r="F4" s="220"/>
      <c r="G4" s="220"/>
      <c r="H4" s="220"/>
      <c r="I4" s="220"/>
      <c r="J4" s="221"/>
    </row>
    <row r="5" spans="1:52">
      <c r="B5" s="233" t="s">
        <v>3719</v>
      </c>
      <c r="C5" s="234"/>
      <c r="D5" s="243" t="str">
        <f>VLOOKUP(D7,エンティティ一覧!A1:'エンティティ一覧'!AM10179,7,FALSE)</f>
        <v>work</v>
      </c>
      <c r="E5" s="244"/>
      <c r="F5" s="244"/>
      <c r="G5" s="244"/>
      <c r="H5" s="244"/>
      <c r="I5" s="244"/>
      <c r="J5" s="245"/>
    </row>
    <row r="6" spans="1:52">
      <c r="B6" s="233" t="s">
        <v>3720</v>
      </c>
      <c r="C6" s="234"/>
      <c r="D6" s="243" t="str">
        <f>VLOOKUP(D7,エンティティ一覧!A1:'エンティティ一覧'!AM10179,15,FALSE)</f>
        <v>ENT_41_01</v>
      </c>
      <c r="E6" s="244"/>
      <c r="F6" s="244"/>
      <c r="G6" s="244"/>
      <c r="H6" s="244"/>
      <c r="I6" s="244"/>
      <c r="J6" s="245"/>
    </row>
    <row r="7" spans="1:52">
      <c r="B7" s="233" t="s">
        <v>115</v>
      </c>
      <c r="C7" s="234"/>
      <c r="D7" s="235" t="s">
        <v>3834</v>
      </c>
      <c r="E7" s="236"/>
      <c r="F7" s="236"/>
      <c r="G7" s="236"/>
      <c r="H7" s="236"/>
      <c r="I7" s="236"/>
      <c r="J7" s="237"/>
    </row>
    <row r="8" spans="1:52">
      <c r="B8" s="233" t="s">
        <v>116</v>
      </c>
      <c r="C8" s="234"/>
      <c r="D8" s="235" t="s">
        <v>3903</v>
      </c>
      <c r="E8" s="236"/>
      <c r="F8" s="236"/>
      <c r="G8" s="236"/>
      <c r="H8" s="236"/>
      <c r="I8" s="236"/>
      <c r="J8" s="237"/>
    </row>
    <row r="9" spans="1:52" ht="19.5" customHeight="1" thickBot="1">
      <c r="B9" s="238" t="s">
        <v>117</v>
      </c>
      <c r="C9" s="239"/>
      <c r="D9" s="240" t="s">
        <v>3835</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3904</v>
      </c>
    </row>
    <row r="13" spans="1:52" s="25" customFormat="1">
      <c r="A13" s="4"/>
      <c r="B13" s="21">
        <f>ROW()-12</f>
        <v>1</v>
      </c>
      <c r="C13" s="6" t="s">
        <v>3836</v>
      </c>
      <c r="D13" s="6" t="s">
        <v>3814</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3905</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3837</v>
      </c>
      <c r="J14" s="11" t="s">
        <v>3861</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3906</v>
      </c>
    </row>
    <row r="15" spans="1:52" s="25" customFormat="1" ht="52.8" thickBot="1">
      <c r="A15" s="4"/>
      <c r="B15" s="27">
        <f>ROW()-12</f>
        <v>3</v>
      </c>
      <c r="C15" s="57" t="s">
        <v>1836</v>
      </c>
      <c r="D15" s="57" t="s">
        <v>321</v>
      </c>
      <c r="E15" s="56"/>
      <c r="F15" s="56" t="s">
        <v>3838</v>
      </c>
      <c r="G15" s="56" t="str">
        <f t="shared" si="3"/>
        <v>text</v>
      </c>
      <c r="H15" s="59"/>
      <c r="I15" s="60" t="s">
        <v>3837</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3907</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ENT_41_02</v>
      </c>
      <c r="E6" s="244"/>
      <c r="F6" s="244"/>
      <c r="G6" s="244"/>
      <c r="H6" s="244"/>
      <c r="I6" s="244"/>
      <c r="J6" s="245"/>
    </row>
    <row r="7" spans="1:45">
      <c r="B7" s="233" t="s">
        <v>115</v>
      </c>
      <c r="C7" s="234"/>
      <c r="D7" s="235" t="s">
        <v>3833</v>
      </c>
      <c r="E7" s="236"/>
      <c r="F7" s="236"/>
      <c r="G7" s="236"/>
      <c r="H7" s="236"/>
      <c r="I7" s="236"/>
      <c r="J7" s="237"/>
    </row>
    <row r="8" spans="1:45">
      <c r="B8" s="233" t="s">
        <v>116</v>
      </c>
      <c r="C8" s="234"/>
      <c r="D8" s="235" t="s">
        <v>3908</v>
      </c>
      <c r="E8" s="236"/>
      <c r="F8" s="236"/>
      <c r="G8" s="236"/>
      <c r="H8" s="236"/>
      <c r="I8" s="236"/>
      <c r="J8" s="237"/>
    </row>
    <row r="9" spans="1:45" ht="19.5" customHeight="1" thickBot="1">
      <c r="B9" s="238" t="s">
        <v>117</v>
      </c>
      <c r="C9" s="239"/>
      <c r="D9" s="240" t="s">
        <v>3839</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3909</v>
      </c>
    </row>
    <row r="13" spans="1:45" s="25" customFormat="1">
      <c r="A13" s="4"/>
      <c r="B13" s="21">
        <f>ROW()-12</f>
        <v>1</v>
      </c>
      <c r="C13" s="6" t="s">
        <v>3836</v>
      </c>
      <c r="D13" s="6" t="s">
        <v>3814</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3910</v>
      </c>
    </row>
    <row r="14" spans="1:45" s="25" customFormat="1">
      <c r="A14" s="4"/>
      <c r="B14" s="21">
        <f t="shared" ref="B14:B15" si="2">ROW()-12</f>
        <v>2</v>
      </c>
      <c r="C14" s="6" t="s">
        <v>3840</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3911</v>
      </c>
    </row>
    <row r="15" spans="1:45" s="25" customFormat="1">
      <c r="A15" s="4"/>
      <c r="B15" s="21">
        <f t="shared" si="2"/>
        <v>3</v>
      </c>
      <c r="C15" s="6" t="s">
        <v>1835</v>
      </c>
      <c r="D15" s="6" t="s">
        <v>949</v>
      </c>
      <c r="E15" s="8"/>
      <c r="F15" s="7" t="s">
        <v>1741</v>
      </c>
      <c r="G15" s="7" t="str">
        <f t="shared" si="3"/>
        <v>text</v>
      </c>
      <c r="H15" s="26"/>
      <c r="I15" s="10" t="s">
        <v>3837</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3912</v>
      </c>
    </row>
    <row r="16" spans="1:45" s="25" customFormat="1" ht="18" thickBot="1">
      <c r="A16" s="4"/>
      <c r="B16" s="27">
        <f>ROW()-12</f>
        <v>4</v>
      </c>
      <c r="C16" s="57" t="s">
        <v>1836</v>
      </c>
      <c r="D16" s="57" t="s">
        <v>321</v>
      </c>
      <c r="E16" s="56"/>
      <c r="F16" s="56" t="s">
        <v>3838</v>
      </c>
      <c r="G16" s="56" t="str">
        <f t="shared" si="3"/>
        <v>text</v>
      </c>
      <c r="H16" s="59"/>
      <c r="I16" s="60" t="s">
        <v>3837</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3913</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ENT_41_03</v>
      </c>
      <c r="E6" s="244"/>
      <c r="F6" s="244"/>
      <c r="G6" s="244"/>
      <c r="H6" s="244"/>
      <c r="I6" s="244"/>
      <c r="J6" s="245"/>
    </row>
    <row r="7" spans="1:45">
      <c r="B7" s="233" t="s">
        <v>115</v>
      </c>
      <c r="C7" s="234"/>
      <c r="D7" s="235" t="s">
        <v>3860</v>
      </c>
      <c r="E7" s="236"/>
      <c r="F7" s="236"/>
      <c r="G7" s="236"/>
      <c r="H7" s="236"/>
      <c r="I7" s="236"/>
      <c r="J7" s="237"/>
    </row>
    <row r="8" spans="1:45">
      <c r="B8" s="233" t="s">
        <v>116</v>
      </c>
      <c r="C8" s="234"/>
      <c r="D8" s="235" t="str">
        <f>エンティティ一覧!AE2&amp;"_"&amp;D5&amp;"_shikkan_dpc"</f>
        <v>sgioy_202310_work_shikkan_dpc</v>
      </c>
      <c r="E8" s="236"/>
      <c r="F8" s="236"/>
      <c r="G8" s="236"/>
      <c r="H8" s="236"/>
      <c r="I8" s="236"/>
      <c r="J8" s="237"/>
    </row>
    <row r="9" spans="1:45" ht="19.5" customHeight="1" thickBot="1">
      <c r="B9" s="238" t="s">
        <v>117</v>
      </c>
      <c r="C9" s="239"/>
      <c r="D9" s="240" t="s">
        <v>4204</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3914</v>
      </c>
    </row>
    <row r="13" spans="1:45" s="25" customFormat="1">
      <c r="A13" s="4"/>
      <c r="B13" s="21">
        <f t="shared" ref="B13:B15" si="0">ROW()-12</f>
        <v>1</v>
      </c>
      <c r="C13" s="6" t="s">
        <v>3813</v>
      </c>
      <c r="D13" s="6" t="s">
        <v>3814</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3915</v>
      </c>
    </row>
    <row r="14" spans="1:45" s="25" customFormat="1">
      <c r="A14" s="4"/>
      <c r="B14" s="21">
        <f t="shared" si="0"/>
        <v>2</v>
      </c>
      <c r="C14" s="13" t="s">
        <v>662</v>
      </c>
      <c r="D14" s="13" t="s">
        <v>869</v>
      </c>
      <c r="E14" s="8" t="s">
        <v>127</v>
      </c>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,shobyo_code</v>
      </c>
      <c r="AK14" s="4"/>
      <c r="AL14" s="4"/>
      <c r="AM14" s="4"/>
      <c r="AN14" s="4"/>
      <c r="AO14" s="4"/>
      <c r="AP14" s="4"/>
      <c r="AQ14" s="4"/>
      <c r="AR14" s="4"/>
      <c r="AS14" s="74" t="s">
        <v>3916</v>
      </c>
    </row>
    <row r="15" spans="1:45" s="25" customFormat="1">
      <c r="A15" s="4"/>
      <c r="B15" s="21">
        <f t="shared" si="0"/>
        <v>3</v>
      </c>
      <c r="C15" s="13" t="s">
        <v>4052</v>
      </c>
      <c r="D15" s="13" t="s">
        <v>1077</v>
      </c>
      <c r="E15" s="8" t="s">
        <v>127</v>
      </c>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,shinryo_start_date</v>
      </c>
      <c r="AK15" s="4"/>
      <c r="AL15" s="4"/>
      <c r="AM15" s="4"/>
      <c r="AN15" s="4"/>
      <c r="AO15" s="4"/>
      <c r="AP15" s="4"/>
      <c r="AQ15" s="4"/>
      <c r="AR15" s="4"/>
      <c r="AS15" s="74" t="s">
        <v>3917</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3918</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dimension ref="A1:AZ38"/>
  <sheetViews>
    <sheetView showGridLines="0" zoomScale="85" zoomScaleNormal="85" workbookViewId="0">
      <selection activeCell="E14" sqref="E1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ENT_41_04</v>
      </c>
      <c r="E6" s="244"/>
      <c r="F6" s="244"/>
      <c r="G6" s="244"/>
      <c r="H6" s="244"/>
      <c r="I6" s="244"/>
      <c r="J6" s="245"/>
    </row>
    <row r="7" spans="1:45">
      <c r="B7" s="233" t="s">
        <v>115</v>
      </c>
      <c r="C7" s="234"/>
      <c r="D7" s="235" t="s">
        <v>3841</v>
      </c>
      <c r="E7" s="236"/>
      <c r="F7" s="236"/>
      <c r="G7" s="236"/>
      <c r="H7" s="236"/>
      <c r="I7" s="236"/>
      <c r="J7" s="237"/>
    </row>
    <row r="8" spans="1:45">
      <c r="B8" s="233" t="s">
        <v>116</v>
      </c>
      <c r="C8" s="234"/>
      <c r="D8" s="235" t="str">
        <f>エンティティ一覧!AE2&amp;"_"&amp;D5&amp;"_shikkan_rcp"</f>
        <v>sgioy_202310_work_shikkan_rcp</v>
      </c>
      <c r="E8" s="236"/>
      <c r="F8" s="236"/>
      <c r="G8" s="236"/>
      <c r="H8" s="236"/>
      <c r="I8" s="236"/>
      <c r="J8" s="237"/>
    </row>
    <row r="9" spans="1:45" ht="19.5" customHeight="1" thickBot="1">
      <c r="B9" s="238" t="s">
        <v>117</v>
      </c>
      <c r="C9" s="239"/>
      <c r="D9" s="240" t="s">
        <v>4205</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3919</v>
      </c>
    </row>
    <row r="13" spans="1:45" s="25" customFormat="1">
      <c r="A13" s="4"/>
      <c r="B13" s="21">
        <f t="shared" ref="B13:B15" si="0">ROW()-12</f>
        <v>1</v>
      </c>
      <c r="C13" s="6" t="s">
        <v>3813</v>
      </c>
      <c r="D13" s="6" t="s">
        <v>3814</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3920</v>
      </c>
    </row>
    <row r="14" spans="1:45" s="25" customFormat="1">
      <c r="A14" s="4"/>
      <c r="B14" s="21">
        <f t="shared" si="0"/>
        <v>2</v>
      </c>
      <c r="C14" s="13" t="s">
        <v>662</v>
      </c>
      <c r="D14" s="13" t="s">
        <v>869</v>
      </c>
      <c r="E14" s="8" t="s">
        <v>127</v>
      </c>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,shobyo_code</v>
      </c>
      <c r="AK14" s="4"/>
      <c r="AL14" s="4"/>
      <c r="AM14" s="4"/>
      <c r="AN14" s="4"/>
      <c r="AO14" s="4"/>
      <c r="AP14" s="4"/>
      <c r="AQ14" s="4"/>
      <c r="AR14" s="4"/>
      <c r="AS14" s="74" t="s">
        <v>3921</v>
      </c>
    </row>
    <row r="15" spans="1:45" s="25" customFormat="1">
      <c r="A15" s="4"/>
      <c r="B15" s="21">
        <f t="shared" si="0"/>
        <v>3</v>
      </c>
      <c r="C15" s="13" t="s">
        <v>1076</v>
      </c>
      <c r="D15" s="13" t="s">
        <v>1077</v>
      </c>
      <c r="E15" s="8" t="s">
        <v>127</v>
      </c>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,shinryo_start_date</v>
      </c>
      <c r="AK15" s="4"/>
      <c r="AL15" s="4"/>
      <c r="AM15" s="4"/>
      <c r="AN15" s="4"/>
      <c r="AO15" s="4"/>
      <c r="AP15" s="4"/>
      <c r="AQ15" s="4"/>
      <c r="AR15" s="4"/>
      <c r="AS15" s="74" t="s">
        <v>3922</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3923</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topLeftCell="D1" zoomScale="85" zoomScaleNormal="85" workbookViewId="0">
      <selection activeCell="AS10" sqref="AS10:AS1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ENT_41_05</v>
      </c>
      <c r="E6" s="244"/>
      <c r="F6" s="244"/>
      <c r="G6" s="244"/>
      <c r="H6" s="244"/>
      <c r="I6" s="244"/>
      <c r="J6" s="245"/>
    </row>
    <row r="7" spans="1:45">
      <c r="B7" s="233" t="s">
        <v>115</v>
      </c>
      <c r="C7" s="234"/>
      <c r="D7" s="235" t="s">
        <v>4203</v>
      </c>
      <c r="E7" s="236"/>
      <c r="F7" s="236"/>
      <c r="G7" s="236"/>
      <c r="H7" s="236"/>
      <c r="I7" s="236"/>
      <c r="J7" s="237"/>
    </row>
    <row r="8" spans="1:45">
      <c r="B8" s="233" t="s">
        <v>116</v>
      </c>
      <c r="C8" s="234"/>
      <c r="D8" s="235" t="str">
        <f>エンティティ一覧!AE2&amp;"_"&amp;D5&amp;"_shikkan_mml"</f>
        <v>sgioy_202310_work_shikkan_mml</v>
      </c>
      <c r="E8" s="236"/>
      <c r="F8" s="236"/>
      <c r="G8" s="236"/>
      <c r="H8" s="236"/>
      <c r="I8" s="236"/>
      <c r="J8" s="237"/>
    </row>
    <row r="9" spans="1:45" ht="19.5" customHeight="1" thickBot="1">
      <c r="B9" s="238" t="s">
        <v>117</v>
      </c>
      <c r="C9" s="239"/>
      <c r="D9" s="240" t="s">
        <v>4206</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milscm_2023_007.sgioy_202310_work_shikkan_mml;</v>
      </c>
      <c r="O10" s="74"/>
      <c r="P10" s="74"/>
      <c r="Q10" s="74"/>
      <c r="R10" s="74"/>
      <c r="S10" s="74"/>
      <c r="T10" s="74"/>
      <c r="AJ10" s="74" t="str">
        <f>"ALTER TABLE ONLY "&amp;エンティティ一覧!$O$2&amp;"."&amp;D$8</f>
        <v>ALTER TABLE ONLY milscm_2023_007.sgioy_202310_work_shikkan_mml</v>
      </c>
      <c r="AS10" s="74" t="str">
        <f>"ALTER TABLE "&amp;エンティティ一覧!$O$2&amp;"."&amp;D$8&amp;" OWNER TO pgmisgrp1;"</f>
        <v>ALTER TABLE milscm_2023_007.sgioy_202310_work_shikkan_mml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milscm_2023_007.sgioy_202310_work_shikkan_mml</v>
      </c>
      <c r="O11" s="74"/>
      <c r="P11" s="74"/>
      <c r="Q11" s="74"/>
      <c r="R11" s="74"/>
      <c r="S11" s="74"/>
      <c r="T11" s="74"/>
      <c r="AJ11" s="74" t="str">
        <f>"ADD CONSTRAINT "&amp;D$8&amp;"_pkey PRIMARY KEY"</f>
        <v>ADD CONSTRAINT sgioy_202310_work_shikkan_mml_pkey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3919</v>
      </c>
    </row>
    <row r="13" spans="1:45" s="25" customFormat="1">
      <c r="A13" s="4"/>
      <c r="B13" s="21">
        <f t="shared" ref="B13:B18" si="0">ROW()-12</f>
        <v>1</v>
      </c>
      <c r="C13" s="6" t="s">
        <v>3813</v>
      </c>
      <c r="D13" s="6" t="s">
        <v>3814</v>
      </c>
      <c r="E13" s="8" t="s">
        <v>127</v>
      </c>
      <c r="F13" s="7" t="s">
        <v>1741</v>
      </c>
      <c r="G13" s="7" t="str">
        <f t="shared" ref="G13:G19" si="1">IF(F13="フラグ","boolean",IF(F13="文字列","text",IF(F13="整数","integer",IF(F13="実数","numeric",""))))</f>
        <v>text</v>
      </c>
      <c r="H13" s="26"/>
      <c r="I13" s="10" t="s">
        <v>127</v>
      </c>
      <c r="J13" s="11"/>
      <c r="M13" s="4"/>
      <c r="N13" s="74"/>
      <c r="O13" s="74"/>
      <c r="P13" s="74" t="str">
        <f t="shared" ref="P13:P19" si="2">IF(B13&lt;&gt;1,","&amp;D13,D13)</f>
        <v>mask_id</v>
      </c>
      <c r="Q13" s="74" t="str">
        <f t="shared" ref="Q13:Q19" si="3">UPPER(G13)</f>
        <v>TEXT</v>
      </c>
      <c r="R13" s="74" t="str">
        <f t="shared" ref="R13:R19"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3920</v>
      </c>
    </row>
    <row r="14" spans="1:45" s="25" customFormat="1">
      <c r="A14" s="4"/>
      <c r="B14" s="21">
        <f t="shared" si="0"/>
        <v>2</v>
      </c>
      <c r="C14" s="13" t="s">
        <v>1325</v>
      </c>
      <c r="D14" s="13" t="s">
        <v>1326</v>
      </c>
      <c r="E14" s="7" t="s">
        <v>127</v>
      </c>
      <c r="F14" s="7" t="s">
        <v>1741</v>
      </c>
      <c r="G14" s="7" t="str">
        <f t="shared" si="1"/>
        <v>text</v>
      </c>
      <c r="H14" s="58"/>
      <c r="I14" s="23" t="s">
        <v>127</v>
      </c>
      <c r="J14" s="24"/>
      <c r="M14" s="4"/>
      <c r="N14" s="74"/>
      <c r="O14" s="74"/>
      <c r="P14" s="74" t="str">
        <f t="shared" si="2"/>
        <v>,byomei</v>
      </c>
      <c r="Q14" s="74" t="str">
        <f t="shared" si="3"/>
        <v>TEXT</v>
      </c>
      <c r="R14" s="74" t="str">
        <f t="shared" si="4"/>
        <v/>
      </c>
      <c r="S14" s="74" t="str">
        <f t="shared" ref="S14:S19" si="5">IF(I14="○","NOT NULL","")</f>
        <v>NOT NULL</v>
      </c>
      <c r="T14" s="74" t="str">
        <f t="shared" ref="T14:T19" si="6">"-- "&amp;C14</f>
        <v>-- 病名</v>
      </c>
      <c r="U14" s="4"/>
      <c r="AA14" s="4"/>
      <c r="AB14" s="4"/>
      <c r="AC14" s="4"/>
      <c r="AD14" s="4"/>
      <c r="AE14" s="4"/>
      <c r="AF14" s="4"/>
      <c r="AG14" s="4"/>
      <c r="AH14" s="4"/>
      <c r="AI14" s="4"/>
      <c r="AJ14" s="74" t="str">
        <f>IF(E14="○",IF(COUNTA(E$13:E14)=1,"",",")&amp;D14,"")</f>
        <v>,byomei</v>
      </c>
      <c r="AK14" s="4"/>
      <c r="AL14" s="4"/>
      <c r="AM14" s="4"/>
      <c r="AN14" s="4"/>
      <c r="AO14" s="4"/>
      <c r="AP14" s="4"/>
      <c r="AQ14" s="4"/>
      <c r="AR14" s="4"/>
      <c r="AS14" s="74" t="s">
        <v>3921</v>
      </c>
    </row>
    <row r="15" spans="1:45" s="25" customFormat="1">
      <c r="A15" s="4"/>
      <c r="B15" s="21">
        <f t="shared" si="0"/>
        <v>3</v>
      </c>
      <c r="C15" s="13" t="s">
        <v>1327</v>
      </c>
      <c r="D15" s="13" t="s">
        <v>1328</v>
      </c>
      <c r="E15" s="7"/>
      <c r="F15" s="7" t="s">
        <v>1741</v>
      </c>
      <c r="G15" s="7" t="str">
        <f t="shared" ref="G15:G16" si="7">IF(F15="フラグ","boolean",IF(F15="文字列","text",IF(F15="整数","integer",IF(F15="実数","numeric",""))))</f>
        <v>text</v>
      </c>
      <c r="H15" s="58"/>
      <c r="I15" s="23" t="s">
        <v>127</v>
      </c>
      <c r="J15" s="24"/>
      <c r="M15" s="4"/>
      <c r="N15" s="74"/>
      <c r="O15" s="74"/>
      <c r="P15" s="74" t="str">
        <f t="shared" ref="P15:P16" si="8">IF(B15&lt;&gt;1,","&amp;D15,D15)</f>
        <v>,byomei_code</v>
      </c>
      <c r="Q15" s="74" t="str">
        <f t="shared" ref="Q15:Q16" si="9">UPPER(G15)</f>
        <v>TEXT</v>
      </c>
      <c r="R15" s="74" t="str">
        <f t="shared" ref="R15:R16" si="10">IF(H15&lt;&gt;"","default "&amp;IF(G15="text","'"&amp;H15&amp;"'",H15),"")</f>
        <v/>
      </c>
      <c r="S15" s="74" t="str">
        <f t="shared" ref="S15:S16" si="11">IF(I15="○","NOT NULL","")</f>
        <v>NOT NULL</v>
      </c>
      <c r="T15" s="74" t="str">
        <f t="shared" ref="T15:T16" si="12">"-- "&amp;C15</f>
        <v>-- 病名コード値</v>
      </c>
      <c r="U15" s="4"/>
      <c r="AA15" s="4"/>
      <c r="AB15" s="4"/>
      <c r="AC15" s="4"/>
      <c r="AD15" s="4"/>
      <c r="AE15" s="4"/>
      <c r="AF15" s="4"/>
      <c r="AG15" s="4"/>
      <c r="AH15" s="4"/>
      <c r="AI15" s="4"/>
      <c r="AJ15" s="74" t="str">
        <f>IF(E15="○",IF(COUNTA(E$13:E15)=1,"",",")&amp;D15,"")</f>
        <v/>
      </c>
      <c r="AK15" s="4"/>
      <c r="AL15" s="4"/>
      <c r="AM15" s="4"/>
      <c r="AN15" s="4"/>
      <c r="AO15" s="4"/>
      <c r="AP15" s="4"/>
      <c r="AQ15" s="4"/>
      <c r="AR15" s="4"/>
      <c r="AS15" s="74" t="s">
        <v>3922</v>
      </c>
    </row>
    <row r="16" spans="1:45" s="25" customFormat="1">
      <c r="A16" s="4"/>
      <c r="B16" s="21">
        <f t="shared" si="0"/>
        <v>4</v>
      </c>
      <c r="C16" s="13" t="s">
        <v>1329</v>
      </c>
      <c r="D16" s="13" t="s">
        <v>1330</v>
      </c>
      <c r="E16" s="7"/>
      <c r="F16" s="7" t="s">
        <v>1741</v>
      </c>
      <c r="G16" s="7" t="str">
        <f t="shared" si="7"/>
        <v>text</v>
      </c>
      <c r="H16" s="58"/>
      <c r="I16" s="23" t="s">
        <v>127</v>
      </c>
      <c r="J16" s="24"/>
      <c r="M16" s="4"/>
      <c r="N16" s="74"/>
      <c r="O16" s="74"/>
      <c r="P16" s="74" t="str">
        <f t="shared" si="8"/>
        <v>,byomei_code_id</v>
      </c>
      <c r="Q16" s="74" t="str">
        <f t="shared" si="9"/>
        <v>TEXT</v>
      </c>
      <c r="R16" s="74" t="str">
        <f t="shared" si="10"/>
        <v/>
      </c>
      <c r="S16" s="74" t="str">
        <f t="shared" si="11"/>
        <v>NOT NULL</v>
      </c>
      <c r="T16" s="74" t="str">
        <f t="shared" si="12"/>
        <v>-- 病名コード体系名</v>
      </c>
      <c r="U16" s="4"/>
      <c r="AA16" s="4"/>
      <c r="AB16" s="4"/>
      <c r="AC16" s="4"/>
      <c r="AD16" s="4"/>
      <c r="AE16" s="4"/>
      <c r="AF16" s="4"/>
      <c r="AG16" s="4"/>
      <c r="AH16" s="4"/>
      <c r="AI16" s="4"/>
      <c r="AJ16" s="74" t="str">
        <f>IF(E16="○",IF(COUNTA(E$13:E16)=1,"",",")&amp;D16,"")</f>
        <v/>
      </c>
      <c r="AK16" s="4"/>
      <c r="AL16" s="4"/>
      <c r="AM16" s="4"/>
      <c r="AN16" s="4"/>
      <c r="AO16" s="4"/>
      <c r="AP16" s="4"/>
      <c r="AQ16" s="4"/>
      <c r="AR16" s="4"/>
      <c r="AS16" s="74" t="s">
        <v>3922</v>
      </c>
    </row>
    <row r="17" spans="1:52" s="25" customFormat="1">
      <c r="A17" s="4"/>
      <c r="B17" s="21">
        <f t="shared" si="0"/>
        <v>5</v>
      </c>
      <c r="C17" s="13" t="s">
        <v>1307</v>
      </c>
      <c r="D17" s="13" t="s">
        <v>2793</v>
      </c>
      <c r="E17" s="7" t="s">
        <v>127</v>
      </c>
      <c r="F17" s="7" t="s">
        <v>1741</v>
      </c>
      <c r="G17" s="7" t="str">
        <f t="shared" si="1"/>
        <v>text</v>
      </c>
      <c r="H17" s="58"/>
      <c r="I17" s="23" t="s">
        <v>127</v>
      </c>
      <c r="J17" s="24"/>
      <c r="M17" s="4"/>
      <c r="N17" s="74"/>
      <c r="O17" s="74"/>
      <c r="P17" s="74" t="str">
        <f t="shared" si="2"/>
        <v>,start_date</v>
      </c>
      <c r="Q17" s="74" t="str">
        <f t="shared" si="3"/>
        <v>TEXT</v>
      </c>
      <c r="R17" s="74" t="str">
        <f t="shared" si="4"/>
        <v/>
      </c>
      <c r="S17" s="74" t="str">
        <f t="shared" si="5"/>
        <v>NOT NULL</v>
      </c>
      <c r="T17" s="74" t="str">
        <f t="shared" si="6"/>
        <v>-- 疾患開始日</v>
      </c>
      <c r="U17" s="4"/>
      <c r="AA17" s="4"/>
      <c r="AB17" s="4"/>
      <c r="AC17" s="4"/>
      <c r="AD17" s="4"/>
      <c r="AE17" s="4"/>
      <c r="AF17" s="4"/>
      <c r="AG17" s="4"/>
      <c r="AH17" s="4"/>
      <c r="AI17" s="4"/>
      <c r="AJ17" s="74" t="str">
        <f>IF(E17="○",IF(COUNTA(E$13:E17)=1,"",",")&amp;D17,"")</f>
        <v>,start_date</v>
      </c>
      <c r="AK17" s="4"/>
      <c r="AL17" s="4"/>
      <c r="AM17" s="4"/>
      <c r="AN17" s="4"/>
      <c r="AO17" s="4"/>
      <c r="AP17" s="4"/>
      <c r="AQ17" s="4"/>
      <c r="AR17" s="4"/>
      <c r="AS17" s="74" t="s">
        <v>3922</v>
      </c>
    </row>
    <row r="18" spans="1:52" s="25" customFormat="1">
      <c r="A18" s="4"/>
      <c r="B18" s="21">
        <f t="shared" si="0"/>
        <v>6</v>
      </c>
      <c r="C18" s="13" t="s">
        <v>1309</v>
      </c>
      <c r="D18" s="13" t="s">
        <v>2794</v>
      </c>
      <c r="E18" s="7" t="s">
        <v>127</v>
      </c>
      <c r="F18" s="7" t="s">
        <v>1741</v>
      </c>
      <c r="G18" s="7" t="str">
        <f t="shared" ref="G18" si="13">IF(F18="フラグ","boolean",IF(F18="文字列","text",IF(F18="整数","integer",IF(F18="実数","numeric",""))))</f>
        <v>text</v>
      </c>
      <c r="H18" s="58"/>
      <c r="I18" s="23" t="s">
        <v>127</v>
      </c>
      <c r="J18" s="24"/>
      <c r="M18" s="4"/>
      <c r="N18" s="74"/>
      <c r="O18" s="74"/>
      <c r="P18" s="74" t="str">
        <f t="shared" ref="P18" si="14">IF(B18&lt;&gt;1,","&amp;D18,D18)</f>
        <v>,end_date</v>
      </c>
      <c r="Q18" s="74" t="str">
        <f t="shared" ref="Q18" si="15">UPPER(G18)</f>
        <v>TEXT</v>
      </c>
      <c r="R18" s="74" t="str">
        <f t="shared" ref="R18" si="16">IF(H18&lt;&gt;"","default "&amp;IF(G18="text","'"&amp;H18&amp;"'",H18),"")</f>
        <v/>
      </c>
      <c r="S18" s="74" t="str">
        <f t="shared" ref="S18" si="17">IF(I18="○","NOT NULL","")</f>
        <v>NOT NULL</v>
      </c>
      <c r="T18" s="74" t="str">
        <f t="shared" ref="T18" si="18">"-- "&amp;C18</f>
        <v>-- 疾患終了日</v>
      </c>
      <c r="U18" s="4"/>
      <c r="AA18" s="4"/>
      <c r="AB18" s="4"/>
      <c r="AC18" s="4"/>
      <c r="AD18" s="4"/>
      <c r="AE18" s="4"/>
      <c r="AF18" s="4"/>
      <c r="AG18" s="4"/>
      <c r="AH18" s="4"/>
      <c r="AI18" s="4"/>
      <c r="AJ18" s="74" t="str">
        <f>IF(E18="○",IF(COUNTA(E$13:E18)=1,"",",")&amp;D18,"")</f>
        <v>,end_date</v>
      </c>
      <c r="AK18" s="4"/>
      <c r="AL18" s="4"/>
      <c r="AM18" s="4"/>
      <c r="AN18" s="4"/>
      <c r="AO18" s="4"/>
      <c r="AP18" s="4"/>
      <c r="AQ18" s="4"/>
      <c r="AR18" s="4"/>
      <c r="AS18" s="74" t="s">
        <v>3922</v>
      </c>
    </row>
    <row r="19" spans="1:52" s="25" customFormat="1" ht="18" thickBot="1">
      <c r="A19" s="4"/>
      <c r="B19" s="27">
        <f>ROW()-12</f>
        <v>7</v>
      </c>
      <c r="C19" s="57" t="s">
        <v>1311</v>
      </c>
      <c r="D19" s="57" t="s">
        <v>2795</v>
      </c>
      <c r="E19" s="56"/>
      <c r="F19" s="56" t="s">
        <v>1741</v>
      </c>
      <c r="G19" s="56" t="str">
        <f t="shared" si="1"/>
        <v>text</v>
      </c>
      <c r="H19" s="59"/>
      <c r="I19" s="60" t="s">
        <v>127</v>
      </c>
      <c r="J19" s="62"/>
      <c r="N19" s="74"/>
      <c r="O19" s="74"/>
      <c r="P19" s="74" t="str">
        <f t="shared" si="2"/>
        <v>,outcome</v>
      </c>
      <c r="Q19" s="74" t="str">
        <f t="shared" si="3"/>
        <v>TEXT</v>
      </c>
      <c r="R19" s="74" t="str">
        <f t="shared" si="4"/>
        <v/>
      </c>
      <c r="S19" s="74" t="str">
        <f t="shared" si="5"/>
        <v>NOT NULL</v>
      </c>
      <c r="T19" s="74" t="str">
        <f t="shared" si="6"/>
        <v>-- 転帰</v>
      </c>
      <c r="U19" s="4"/>
      <c r="AA19" s="4"/>
      <c r="AB19" s="4"/>
      <c r="AC19" s="4"/>
      <c r="AD19" s="4"/>
      <c r="AE19" s="4"/>
      <c r="AF19" s="4"/>
      <c r="AG19" s="4"/>
      <c r="AH19" s="4"/>
      <c r="AI19" s="4"/>
      <c r="AJ19" s="74" t="str">
        <f>IF(E19="○",IF(COUNTA(E$13:E19)=1,"",",")&amp;D19,"")</f>
        <v/>
      </c>
      <c r="AK19" s="4"/>
      <c r="AL19" s="4"/>
      <c r="AM19" s="4"/>
      <c r="AN19" s="4"/>
      <c r="AO19" s="4"/>
      <c r="AP19" s="4"/>
      <c r="AQ19" s="4"/>
      <c r="AR19" s="4"/>
      <c r="AS19" s="74" t="s">
        <v>3923</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41</v>
      </c>
      <c r="E4" s="220"/>
      <c r="F4" s="220"/>
      <c r="G4" s="220"/>
      <c r="H4" s="220"/>
      <c r="I4" s="220"/>
      <c r="J4" s="221"/>
    </row>
    <row r="5" spans="1:52">
      <c r="B5" s="233" t="s">
        <v>3719</v>
      </c>
      <c r="C5" s="234"/>
      <c r="D5" s="243" t="str">
        <f>VLOOKUP(D7,エンティティ一覧!A1:'エンティティ一覧'!AM10179,7,FALSE)</f>
        <v>work</v>
      </c>
      <c r="E5" s="244"/>
      <c r="F5" s="244"/>
      <c r="G5" s="244"/>
      <c r="H5" s="244"/>
      <c r="I5" s="244"/>
      <c r="J5" s="245"/>
    </row>
    <row r="6" spans="1:52">
      <c r="B6" s="233" t="s">
        <v>3720</v>
      </c>
      <c r="C6" s="234"/>
      <c r="D6" s="243" t="str">
        <f>VLOOKUP(D7,エンティティ一覧!A1:'エンティティ一覧'!AM10179,15,FALSE)</f>
        <v>ENT_41_06</v>
      </c>
      <c r="E6" s="244"/>
      <c r="F6" s="244"/>
      <c r="G6" s="244"/>
      <c r="H6" s="244"/>
      <c r="I6" s="244"/>
      <c r="J6" s="245"/>
    </row>
    <row r="7" spans="1:52">
      <c r="B7" s="233" t="s">
        <v>115</v>
      </c>
      <c r="C7" s="234"/>
      <c r="D7" s="235" t="s">
        <v>4220</v>
      </c>
      <c r="E7" s="236"/>
      <c r="F7" s="236"/>
      <c r="G7" s="236"/>
      <c r="H7" s="236"/>
      <c r="I7" s="236"/>
      <c r="J7" s="237"/>
    </row>
    <row r="8" spans="1:52">
      <c r="B8" s="233" t="s">
        <v>116</v>
      </c>
      <c r="C8" s="234"/>
      <c r="D8" s="235" t="str">
        <f>エンティティ一覧!AE2&amp;"_"&amp;D5&amp;"_nyu_tai_in_dpc"</f>
        <v>sgioy_202310_work_nyu_tai_in_dpc</v>
      </c>
      <c r="E8" s="236"/>
      <c r="F8" s="236"/>
      <c r="G8" s="236"/>
      <c r="H8" s="236"/>
      <c r="I8" s="236"/>
      <c r="J8" s="237"/>
    </row>
    <row r="9" spans="1:52" ht="19.5" customHeight="1" thickBot="1">
      <c r="B9" s="238" t="s">
        <v>117</v>
      </c>
      <c r="C9" s="239"/>
      <c r="D9" s="240" t="s">
        <v>4223</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milscm_2023_007.sgioy_202310_work_nyu_tai_in_dpc;</v>
      </c>
      <c r="O10" s="74"/>
      <c r="P10" s="74"/>
      <c r="Q10" s="74"/>
      <c r="R10" s="74"/>
      <c r="S10" s="74"/>
      <c r="T10" s="74"/>
      <c r="AJ10" s="74" t="str">
        <f>"ALTER TABLE ONLY "&amp;エンティティ一覧!$O$2&amp;"."&amp;D$8</f>
        <v>ALTER TABLE ONLY milscm_2023_007.sgioy_202310_work_nyu_tai_in_dpc</v>
      </c>
      <c r="AS10" s="74" t="str">
        <f>"ALTER TABLE "&amp;エンティティ一覧!$O$2&amp;"."&amp;D$8&amp;" OWNER TO pgmisgrp1;"</f>
        <v>ALTER TABLE milscm_2023_007.sgioy_202310_work_nyu_tai_in_dpc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milscm_2023_007.sgioy_202310_work_nyu_tai_in_dpc</v>
      </c>
      <c r="O11" s="74"/>
      <c r="P11" s="74"/>
      <c r="Q11" s="74"/>
      <c r="R11" s="74"/>
      <c r="S11" s="74"/>
      <c r="T11" s="74"/>
      <c r="AJ11" s="74" t="str">
        <f>"ADD CONSTRAINT "&amp;D$8&amp;"_pkey PRIMARY KEY"</f>
        <v>ADD CONSTRAINT sgioy_202310_work_nyu_tai_in_dpc_pkey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milscm_2023_007.sgioy_202310_work_nyu_tai_in_dpc IS 'ワーク_入院退院_DPC';</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milscm_2023_007.sgioy_202310_work_nyu_tai_in_dpc.mask_id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 si="5">IF(I14="○","NOT NULL","")</f>
        <v>NOT NULL</v>
      </c>
      <c r="T14" s="74" t="str">
        <f t="shared" ref="T14"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milscm_2023_007.sgioy_202310_work_nyu_tai_in_dpc.nyuin_ymd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ref="S15" si="7">IF(I15="○","NOT NULL","")</f>
        <v>NOT NULL</v>
      </c>
      <c r="T15" s="74" t="str">
        <f t="shared" ref="T15" si="8">"-- "&amp;C15</f>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milscm_2023_007.sgioy_202310_work_nyu_tai_in_dpc.taiin_ymd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41</v>
      </c>
      <c r="E4" s="220"/>
      <c r="F4" s="220"/>
      <c r="G4" s="220"/>
      <c r="H4" s="220"/>
      <c r="I4" s="220"/>
      <c r="J4" s="221"/>
    </row>
    <row r="5" spans="1:52">
      <c r="B5" s="233" t="s">
        <v>3719</v>
      </c>
      <c r="C5" s="234"/>
      <c r="D5" s="243" t="str">
        <f>VLOOKUP(D7,エンティティ一覧!A1:'エンティティ一覧'!AM10179,7,FALSE)</f>
        <v>work</v>
      </c>
      <c r="E5" s="244"/>
      <c r="F5" s="244"/>
      <c r="G5" s="244"/>
      <c r="H5" s="244"/>
      <c r="I5" s="244"/>
      <c r="J5" s="245"/>
    </row>
    <row r="6" spans="1:52">
      <c r="B6" s="233" t="s">
        <v>3720</v>
      </c>
      <c r="C6" s="234"/>
      <c r="D6" s="243" t="str">
        <f>VLOOKUP(D7,エンティティ一覧!A1:'エンティティ一覧'!AM10179,15,FALSE)</f>
        <v>ENT_41_07</v>
      </c>
      <c r="E6" s="244"/>
      <c r="F6" s="244"/>
      <c r="G6" s="244"/>
      <c r="H6" s="244"/>
      <c r="I6" s="244"/>
      <c r="J6" s="245"/>
    </row>
    <row r="7" spans="1:52">
      <c r="B7" s="233" t="s">
        <v>115</v>
      </c>
      <c r="C7" s="234"/>
      <c r="D7" s="235" t="s">
        <v>4222</v>
      </c>
      <c r="E7" s="236"/>
      <c r="F7" s="236"/>
      <c r="G7" s="236"/>
      <c r="H7" s="236"/>
      <c r="I7" s="236"/>
      <c r="J7" s="237"/>
    </row>
    <row r="8" spans="1:52">
      <c r="B8" s="233" t="s">
        <v>116</v>
      </c>
      <c r="C8" s="234"/>
      <c r="D8" s="235" t="str">
        <f>エンティティ一覧!AE2&amp;"_"&amp;D5&amp;"_nyu_tai_in_mml"</f>
        <v>sgioy_202310_work_nyu_tai_in_mml</v>
      </c>
      <c r="E8" s="236"/>
      <c r="F8" s="236"/>
      <c r="G8" s="236"/>
      <c r="H8" s="236"/>
      <c r="I8" s="236"/>
      <c r="J8" s="237"/>
    </row>
    <row r="9" spans="1:52" ht="19.5" customHeight="1" thickBot="1">
      <c r="B9" s="238" t="s">
        <v>117</v>
      </c>
      <c r="C9" s="239"/>
      <c r="D9" s="240" t="s">
        <v>4224</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milscm_2023_007.sgioy_202310_work_nyu_tai_in_mml;</v>
      </c>
      <c r="O10" s="74"/>
      <c r="P10" s="74"/>
      <c r="Q10" s="74"/>
      <c r="R10" s="74"/>
      <c r="S10" s="74"/>
      <c r="T10" s="74"/>
      <c r="AJ10" s="74" t="str">
        <f>"ALTER TABLE ONLY "&amp;エンティティ一覧!$O$2&amp;"."&amp;D$8</f>
        <v>ALTER TABLE ONLY milscm_2023_007.sgioy_202310_work_nyu_tai_in_mml</v>
      </c>
      <c r="AS10" s="74" t="str">
        <f>"ALTER TABLE "&amp;エンティティ一覧!$O$2&amp;"."&amp;D$8&amp;" OWNER TO pgmisgrp1;"</f>
        <v>ALTER TABLE milscm_2023_007.sgioy_202310_work_nyu_tai_in_mml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milscm_2023_007.sgioy_202310_work_nyu_tai_in_mml</v>
      </c>
      <c r="O11" s="74"/>
      <c r="P11" s="74"/>
      <c r="Q11" s="74"/>
      <c r="R11" s="74"/>
      <c r="S11" s="74"/>
      <c r="T11" s="74"/>
      <c r="AJ11" s="74" t="str">
        <f>"ADD CONSTRAINT "&amp;D$8&amp;"_pkey PRIMARY KEY"</f>
        <v>ADD CONSTRAINT sgioy_202310_work_nyu_tai_in_mml_pkey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milscm_2023_007.sgioy_202310_work_nyu_tai_in_mml IS 'ワーク_入院退院_MML';</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milscm_2023_007.sgioy_202310_work_nyu_tai_in_mml.mask_id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S15" si="5">IF(I14="○","NOT NULL","")</f>
        <v>NOT NULL</v>
      </c>
      <c r="T14" s="74" t="str">
        <f t="shared" ref="T14:T15"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milscm_2023_007.sgioy_202310_work_nyu_tai_in_mml.nyuin_ymd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si="5"/>
        <v>NOT NULL</v>
      </c>
      <c r="T15" s="74" t="str">
        <f t="shared" si="6"/>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milscm_2023_007.sgioy_202310_work_nyu_tai_in_mml.taiin_ymd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41</v>
      </c>
      <c r="E4" s="220"/>
      <c r="F4" s="220"/>
      <c r="G4" s="220"/>
      <c r="H4" s="220"/>
      <c r="I4" s="220"/>
      <c r="J4" s="221"/>
    </row>
    <row r="5" spans="1:52">
      <c r="B5" s="233" t="s">
        <v>3719</v>
      </c>
      <c r="C5" s="234"/>
      <c r="D5" s="243" t="str">
        <f>VLOOKUP(D7,エンティティ一覧!A1:'エンティティ一覧'!AM10179,7,FALSE)</f>
        <v>work</v>
      </c>
      <c r="E5" s="244"/>
      <c r="F5" s="244"/>
      <c r="G5" s="244"/>
      <c r="H5" s="244"/>
      <c r="I5" s="244"/>
      <c r="J5" s="245"/>
    </row>
    <row r="6" spans="1:52">
      <c r="B6" s="233" t="s">
        <v>3720</v>
      </c>
      <c r="C6" s="234"/>
      <c r="D6" s="243" t="str">
        <f>VLOOKUP(D7,エンティティ一覧!A1:'エンティティ一覧'!AM10179,15,FALSE)</f>
        <v>ENT_41_08</v>
      </c>
      <c r="E6" s="244"/>
      <c r="F6" s="244"/>
      <c r="G6" s="244"/>
      <c r="H6" s="244"/>
      <c r="I6" s="244"/>
      <c r="J6" s="245"/>
    </row>
    <row r="7" spans="1:52">
      <c r="B7" s="233" t="s">
        <v>115</v>
      </c>
      <c r="C7" s="234"/>
      <c r="D7" s="235" t="s">
        <v>4225</v>
      </c>
      <c r="E7" s="236"/>
      <c r="F7" s="236"/>
      <c r="G7" s="236"/>
      <c r="H7" s="236"/>
      <c r="I7" s="236"/>
      <c r="J7" s="237"/>
    </row>
    <row r="8" spans="1:52">
      <c r="B8" s="233" t="s">
        <v>116</v>
      </c>
      <c r="C8" s="234"/>
      <c r="D8" s="235" t="str">
        <f>エンティティ一覧!AE2&amp;"_"&amp;D5&amp;"_nyu_tai_in"</f>
        <v>sgioy_202310_work_nyu_tai_in</v>
      </c>
      <c r="E8" s="236"/>
      <c r="F8" s="236"/>
      <c r="G8" s="236"/>
      <c r="H8" s="236"/>
      <c r="I8" s="236"/>
      <c r="J8" s="237"/>
    </row>
    <row r="9" spans="1:52" ht="19.5" customHeight="1" thickBot="1">
      <c r="B9" s="238" t="s">
        <v>117</v>
      </c>
      <c r="C9" s="239"/>
      <c r="D9" s="240" t="s">
        <v>4226</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milscm_2023_007.sgioy_202310_work_nyu_tai_in;</v>
      </c>
      <c r="O10" s="74"/>
      <c r="P10" s="74"/>
      <c r="Q10" s="74"/>
      <c r="R10" s="74"/>
      <c r="S10" s="74"/>
      <c r="T10" s="74"/>
      <c r="AJ10" s="74" t="str">
        <f>"ALTER TABLE ONLY "&amp;エンティティ一覧!$O$2&amp;"."&amp;D$8</f>
        <v>ALTER TABLE ONLY milscm_2023_007.sgioy_202310_work_nyu_tai_in</v>
      </c>
      <c r="AS10" s="74" t="str">
        <f>"ALTER TABLE "&amp;エンティティ一覧!$O$2&amp;"."&amp;D$8&amp;" OWNER TO pgmisgrp1;"</f>
        <v>ALTER TABLE milscm_2023_007.sgioy_202310_work_nyu_tai_in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v>
      </c>
      <c r="O11" s="74"/>
      <c r="P11" s="74"/>
      <c r="Q11" s="74"/>
      <c r="R11" s="74"/>
      <c r="S11" s="74"/>
      <c r="T11" s="74"/>
      <c r="AJ11" s="74" t="str">
        <f>"ADD CONSTRAINT "&amp;D$8&amp;"_pkey PRIMARY KEY"</f>
        <v>ADD CONSTRAINT sgioy_202310_work_nyu_tai_in_pkey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 IS 'ワーク_入院退院';</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S15" si="5">IF(I14="○","NOT NULL","")</f>
        <v>NOT NULL</v>
      </c>
      <c r="T14" s="74" t="str">
        <f t="shared" ref="T14:T15"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si="5"/>
        <v>NOT NULL</v>
      </c>
      <c r="T15" s="74" t="str">
        <f t="shared" si="6"/>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41</v>
      </c>
      <c r="E4" s="220"/>
      <c r="F4" s="220"/>
      <c r="G4" s="220"/>
      <c r="H4" s="220"/>
      <c r="I4" s="220"/>
      <c r="J4" s="221"/>
    </row>
    <row r="5" spans="1:52">
      <c r="B5" s="233" t="s">
        <v>3719</v>
      </c>
      <c r="C5" s="234"/>
      <c r="D5" s="243" t="str">
        <f>VLOOKUP(D7,エンティティ一覧!A1:'エンティティ一覧'!AM10179,7,FALSE)</f>
        <v>work</v>
      </c>
      <c r="E5" s="244"/>
      <c r="F5" s="244"/>
      <c r="G5" s="244"/>
      <c r="H5" s="244"/>
      <c r="I5" s="244"/>
      <c r="J5" s="245"/>
    </row>
    <row r="6" spans="1:52">
      <c r="B6" s="233" t="s">
        <v>3720</v>
      </c>
      <c r="C6" s="234"/>
      <c r="D6" s="243" t="str">
        <f>VLOOKUP(D7,エンティティ一覧!A1:'エンティティ一覧'!AM10179,15,FALSE)</f>
        <v>ENT_41_09</v>
      </c>
      <c r="E6" s="244"/>
      <c r="F6" s="244"/>
      <c r="G6" s="244"/>
      <c r="H6" s="244"/>
      <c r="I6" s="244"/>
      <c r="J6" s="245"/>
    </row>
    <row r="7" spans="1:52">
      <c r="B7" s="233" t="s">
        <v>115</v>
      </c>
      <c r="C7" s="234"/>
      <c r="D7" s="235" t="s">
        <v>4231</v>
      </c>
      <c r="E7" s="236"/>
      <c r="F7" s="236"/>
      <c r="G7" s="236"/>
      <c r="H7" s="236"/>
      <c r="I7" s="236"/>
      <c r="J7" s="237"/>
    </row>
    <row r="8" spans="1:52">
      <c r="B8" s="233" t="s">
        <v>116</v>
      </c>
      <c r="C8" s="234"/>
      <c r="D8" s="235" t="str">
        <f>エンティティ一覧!AE2&amp;"_"&amp;D5&amp;"_gairai_dpc"</f>
        <v>sgioy_202310_work_gairai_dpc</v>
      </c>
      <c r="E8" s="236"/>
      <c r="F8" s="236"/>
      <c r="G8" s="236"/>
      <c r="H8" s="236"/>
      <c r="I8" s="236"/>
      <c r="J8" s="237"/>
    </row>
    <row r="9" spans="1:52" ht="19.5" customHeight="1" thickBot="1">
      <c r="B9" s="238" t="s">
        <v>117</v>
      </c>
      <c r="C9" s="239"/>
      <c r="D9" s="240" t="s">
        <v>4233</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milscm_2023_007.sgioy_202310_work_gairai_dpc;</v>
      </c>
      <c r="O10" s="74"/>
      <c r="P10" s="74"/>
      <c r="Q10" s="74"/>
      <c r="R10" s="74"/>
      <c r="S10" s="74"/>
      <c r="T10" s="74"/>
      <c r="AJ10" s="74" t="str">
        <f>"ALTER TABLE ONLY "&amp;エンティティ一覧!$O$2&amp;"."&amp;D$8</f>
        <v>ALTER TABLE ONLY milscm_2023_007.sgioy_202310_work_gairai_dpc</v>
      </c>
      <c r="AS10" s="74" t="str">
        <f>"ALTER TABLE "&amp;エンティティ一覧!$O$2&amp;"."&amp;D$8&amp;" OWNER TO pgmisgrp1;"</f>
        <v>ALTER TABLE milscm_2023_007.sgioy_202310_work_gairai_dpc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milscm_2023_007.sgioy_202310_work_gairai_dpc</v>
      </c>
      <c r="O11" s="74"/>
      <c r="P11" s="74"/>
      <c r="Q11" s="74"/>
      <c r="R11" s="74"/>
      <c r="S11" s="74"/>
      <c r="T11" s="74"/>
      <c r="AJ11" s="74" t="str">
        <f>"ADD CONSTRAINT "&amp;D$8&amp;"_pkey PRIMARY KEY"</f>
        <v>ADD CONSTRAINT sgioy_202310_work_gairai_dpc_pkey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milscm_2023_007.sgioy_202310_work_gairai_dpc IS 'ワーク_外来_DPC';</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milscm_2023_007.sgioy_202310_work_gairai_dpc.mask_id IS 'マスクID';</v>
      </c>
    </row>
    <row r="14" spans="1:52" s="25" customFormat="1" ht="18" thickBot="1">
      <c r="A14" s="4"/>
      <c r="B14" s="27">
        <f>ROW()-12</f>
        <v>2</v>
      </c>
      <c r="C14" s="57" t="s">
        <v>4228</v>
      </c>
      <c r="D14" s="57" t="s">
        <v>4227</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milscm_2023_007.sgioy_202310_work_gairai_dpc.gairai_ymd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41</v>
      </c>
      <c r="E4" s="220"/>
      <c r="F4" s="220"/>
      <c r="G4" s="220"/>
      <c r="H4" s="220"/>
      <c r="I4" s="220"/>
      <c r="J4" s="221"/>
    </row>
    <row r="5" spans="1:52">
      <c r="B5" s="233" t="s">
        <v>3719</v>
      </c>
      <c r="C5" s="234"/>
      <c r="D5" s="243" t="str">
        <f>VLOOKUP(D7,エンティティ一覧!A1:'エンティティ一覧'!AM10179,7,FALSE)</f>
        <v>work</v>
      </c>
      <c r="E5" s="244"/>
      <c r="F5" s="244"/>
      <c r="G5" s="244"/>
      <c r="H5" s="244"/>
      <c r="I5" s="244"/>
      <c r="J5" s="245"/>
    </row>
    <row r="6" spans="1:52">
      <c r="B6" s="233" t="s">
        <v>3720</v>
      </c>
      <c r="C6" s="234"/>
      <c r="D6" s="243" t="str">
        <f>VLOOKUP(D7,エンティティ一覧!A1:'エンティティ一覧'!AM10179,15,FALSE)</f>
        <v>ENT_41_10</v>
      </c>
      <c r="E6" s="244"/>
      <c r="F6" s="244"/>
      <c r="G6" s="244"/>
      <c r="H6" s="244"/>
      <c r="I6" s="244"/>
      <c r="J6" s="245"/>
    </row>
    <row r="7" spans="1:52">
      <c r="B7" s="233" t="s">
        <v>115</v>
      </c>
      <c r="C7" s="234"/>
      <c r="D7" s="235" t="s">
        <v>4230</v>
      </c>
      <c r="E7" s="236"/>
      <c r="F7" s="236"/>
      <c r="G7" s="236"/>
      <c r="H7" s="236"/>
      <c r="I7" s="236"/>
      <c r="J7" s="237"/>
    </row>
    <row r="8" spans="1:52">
      <c r="B8" s="233" t="s">
        <v>116</v>
      </c>
      <c r="C8" s="234"/>
      <c r="D8" s="235" t="str">
        <f>エンティティ一覧!AE2&amp;"_"&amp;D5&amp;"_gairai_mml"</f>
        <v>sgioy_202310_work_gairai_mml</v>
      </c>
      <c r="E8" s="236"/>
      <c r="F8" s="236"/>
      <c r="G8" s="236"/>
      <c r="H8" s="236"/>
      <c r="I8" s="236"/>
      <c r="J8" s="237"/>
    </row>
    <row r="9" spans="1:52" ht="19.5" customHeight="1" thickBot="1">
      <c r="B9" s="238" t="s">
        <v>117</v>
      </c>
      <c r="C9" s="239"/>
      <c r="D9" s="240" t="s">
        <v>4234</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milscm_2023_007.sgioy_202310_work_gairai_mml;</v>
      </c>
      <c r="O10" s="74"/>
      <c r="P10" s="74"/>
      <c r="Q10" s="74"/>
      <c r="R10" s="74"/>
      <c r="S10" s="74"/>
      <c r="T10" s="74"/>
      <c r="AJ10" s="74" t="str">
        <f>"ALTER TABLE ONLY "&amp;エンティティ一覧!$O$2&amp;"."&amp;D$8</f>
        <v>ALTER TABLE ONLY milscm_2023_007.sgioy_202310_work_gairai_mml</v>
      </c>
      <c r="AS10" s="74" t="str">
        <f>"ALTER TABLE "&amp;エンティティ一覧!$O$2&amp;"."&amp;D$8&amp;" OWNER TO pgmisgrp1;"</f>
        <v>ALTER TABLE milscm_2023_007.sgioy_202310_work_gairai_mml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milscm_2023_007.sgioy_202310_work_gairai_mml</v>
      </c>
      <c r="O11" s="74"/>
      <c r="P11" s="74"/>
      <c r="Q11" s="74"/>
      <c r="R11" s="74"/>
      <c r="S11" s="74"/>
      <c r="T11" s="74"/>
      <c r="AJ11" s="74" t="str">
        <f>"ADD CONSTRAINT "&amp;D$8&amp;"_pkey PRIMARY KEY"</f>
        <v>ADD CONSTRAINT sgioy_202310_work_gairai_mml_pkey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milscm_2023_007.sgioy_202310_work_gairai_mml IS 'ワーク_外来_MML';</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milscm_2023_007.sgioy_202310_work_gairai_mml.mask_id IS 'マスクID';</v>
      </c>
    </row>
    <row r="14" spans="1:52" s="25" customFormat="1" ht="18" thickBot="1">
      <c r="A14" s="4"/>
      <c r="B14" s="27">
        <f>ROW()-12</f>
        <v>2</v>
      </c>
      <c r="C14" s="57" t="s">
        <v>4228</v>
      </c>
      <c r="D14" s="57" t="s">
        <v>4227</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milscm_2023_007.sgioy_202310_work_gairai_mml.gairai_ymd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41</v>
      </c>
      <c r="E4" s="220"/>
      <c r="F4" s="220"/>
      <c r="G4" s="220"/>
      <c r="H4" s="220"/>
      <c r="I4" s="220"/>
      <c r="J4" s="221"/>
    </row>
    <row r="5" spans="1:52">
      <c r="B5" s="233" t="s">
        <v>3719</v>
      </c>
      <c r="C5" s="234"/>
      <c r="D5" s="243" t="str">
        <f>VLOOKUP(D7,エンティティ一覧!A1:'エンティティ一覧'!AM10179,7,FALSE)</f>
        <v>work</v>
      </c>
      <c r="E5" s="244"/>
      <c r="F5" s="244"/>
      <c r="G5" s="244"/>
      <c r="H5" s="244"/>
      <c r="I5" s="244"/>
      <c r="J5" s="245"/>
    </row>
    <row r="6" spans="1:52">
      <c r="B6" s="233" t="s">
        <v>3720</v>
      </c>
      <c r="C6" s="234"/>
      <c r="D6" s="243" t="str">
        <f>VLOOKUP(D7,エンティティ一覧!A1:'エンティティ一覧'!AM10179,15,FALSE)</f>
        <v>ENT_41_11</v>
      </c>
      <c r="E6" s="244"/>
      <c r="F6" s="244"/>
      <c r="G6" s="244"/>
      <c r="H6" s="244"/>
      <c r="I6" s="244"/>
      <c r="J6" s="245"/>
    </row>
    <row r="7" spans="1:52">
      <c r="B7" s="233" t="s">
        <v>115</v>
      </c>
      <c r="C7" s="234"/>
      <c r="D7" s="235" t="s">
        <v>4229</v>
      </c>
      <c r="E7" s="236"/>
      <c r="F7" s="236"/>
      <c r="G7" s="236"/>
      <c r="H7" s="236"/>
      <c r="I7" s="236"/>
      <c r="J7" s="237"/>
    </row>
    <row r="8" spans="1:52">
      <c r="B8" s="233" t="s">
        <v>116</v>
      </c>
      <c r="C8" s="234"/>
      <c r="D8" s="235" t="str">
        <f>エンティティ一覧!AE2&amp;"_"&amp;D5&amp;"_gairai"</f>
        <v>sgioy_202310_work_gairai</v>
      </c>
      <c r="E8" s="236"/>
      <c r="F8" s="236"/>
      <c r="G8" s="236"/>
      <c r="H8" s="236"/>
      <c r="I8" s="236"/>
      <c r="J8" s="237"/>
    </row>
    <row r="9" spans="1:52" ht="19.5" customHeight="1" thickBot="1">
      <c r="B9" s="238" t="s">
        <v>117</v>
      </c>
      <c r="C9" s="239"/>
      <c r="D9" s="240" t="s">
        <v>4235</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milscm_2023_007.sgioy_202310_work_gairai;</v>
      </c>
      <c r="O10" s="74"/>
      <c r="P10" s="74"/>
      <c r="Q10" s="74"/>
      <c r="R10" s="74"/>
      <c r="S10" s="74"/>
      <c r="T10" s="74"/>
      <c r="AJ10" s="74" t="str">
        <f>"ALTER TABLE ONLY "&amp;エンティティ一覧!$O$2&amp;"."&amp;D$8</f>
        <v>ALTER TABLE ONLY milscm_2023_007.sgioy_202310_work_gairai</v>
      </c>
      <c r="AS10" s="74" t="str">
        <f>"ALTER TABLE "&amp;エンティティ一覧!$O$2&amp;"."&amp;D$8&amp;" OWNER TO pgmisgrp1;"</f>
        <v>ALTER TABLE milscm_2023_007.sgioy_202310_work_gairai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v>
      </c>
      <c r="O11" s="74"/>
      <c r="P11" s="74"/>
      <c r="Q11" s="74"/>
      <c r="R11" s="74"/>
      <c r="S11" s="74"/>
      <c r="T11" s="74"/>
      <c r="AJ11" s="74" t="str">
        <f>"ADD CONSTRAINT "&amp;D$8&amp;"_pkey PRIMARY KEY"</f>
        <v>ADD CONSTRAINT sgioy_202310_work_gairai_pkey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 IS 'ワーク_外来';</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milscm_2023_007.sgioy_202310_work_gairai.mask_id IS 'マスクID';</v>
      </c>
    </row>
    <row r="14" spans="1:52" s="25" customFormat="1" ht="18" thickBot="1">
      <c r="A14" s="4"/>
      <c r="B14" s="27">
        <f>ROW()-12</f>
        <v>2</v>
      </c>
      <c r="C14" s="57" t="s">
        <v>4228</v>
      </c>
      <c r="D14" s="57" t="s">
        <v>4227</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ENT_41_12</v>
      </c>
      <c r="E6" s="244"/>
      <c r="F6" s="244"/>
      <c r="G6" s="244"/>
      <c r="H6" s="244"/>
      <c r="I6" s="244"/>
      <c r="J6" s="245"/>
    </row>
    <row r="7" spans="1:45">
      <c r="B7" s="233" t="s">
        <v>115</v>
      </c>
      <c r="C7" s="234"/>
      <c r="D7" s="235" t="s">
        <v>4232</v>
      </c>
      <c r="E7" s="236"/>
      <c r="F7" s="236"/>
      <c r="G7" s="236"/>
      <c r="H7" s="236"/>
      <c r="I7" s="236"/>
      <c r="J7" s="237"/>
    </row>
    <row r="8" spans="1:45">
      <c r="B8" s="233" t="s">
        <v>116</v>
      </c>
      <c r="C8" s="234"/>
      <c r="D8" s="235" t="str">
        <f>エンティティ一覧!AE2&amp;"_"&amp;D5&amp;"_shohou_dpc"</f>
        <v>sgioy_202310_work_shohou_dpc</v>
      </c>
      <c r="E8" s="236"/>
      <c r="F8" s="236"/>
      <c r="G8" s="236"/>
      <c r="H8" s="236"/>
      <c r="I8" s="236"/>
      <c r="J8" s="237"/>
    </row>
    <row r="9" spans="1:45" ht="19.5" customHeight="1" thickBot="1">
      <c r="B9" s="238" t="s">
        <v>117</v>
      </c>
      <c r="C9" s="239"/>
      <c r="D9" s="240" t="s">
        <v>4236</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milscm_2023_007.sgioy_202310_work_shohou_dpc;</v>
      </c>
      <c r="O10" s="74"/>
      <c r="P10" s="74"/>
      <c r="Q10" s="74"/>
      <c r="R10" s="74"/>
      <c r="S10" s="74"/>
      <c r="T10" s="74"/>
      <c r="AJ10" s="74" t="str">
        <f>"ALTER TABLE ONLY "&amp;エンティティ一覧!$O$2&amp;"."&amp;D$8</f>
        <v>ALTER TABLE ONLY milscm_2023_007.sgioy_202310_work_shohou_dpc</v>
      </c>
      <c r="AS10" s="74" t="str">
        <f>"ALTER TABLE "&amp;エンティティ一覧!$O$2&amp;"."&amp;D$8&amp;" OWNER TO pgmisgrp1;"</f>
        <v>ALTER TABLE milscm_2023_007.sgioy_202310_work_shohou_dpc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milscm_2023_007.sgioy_202310_work_shohou_dpc</v>
      </c>
      <c r="O11" s="74"/>
      <c r="P11" s="74"/>
      <c r="Q11" s="74"/>
      <c r="R11" s="74"/>
      <c r="S11" s="74"/>
      <c r="T11" s="74"/>
      <c r="AJ11" s="74" t="str">
        <f>"ADD CONSTRAINT "&amp;D$8&amp;"_pkey PRIMARY KEY"</f>
        <v>ADD CONSTRAINT sgioy_202310_work_shohou_dpc_pkey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milscm_2023_007.sgioy_202310_work_shohou_dpc IS 'ワーク_処方データ_DPC';</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8" si="0">UPPER(G13)</f>
        <v>TEXT</v>
      </c>
      <c r="R13" s="74" t="str">
        <f t="shared" ref="R13:R18"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milscm_2023_007.sgioy_202310_work_shohou_dpc.mask_id IS 'マスクID';</v>
      </c>
    </row>
    <row r="14" spans="1:45" s="25" customFormat="1">
      <c r="A14" s="4"/>
      <c r="B14" s="21">
        <f t="shared" ref="B14:B17" si="2">ROW()-12</f>
        <v>2</v>
      </c>
      <c r="C14" s="13" t="s">
        <v>145</v>
      </c>
      <c r="D14" s="13" t="s">
        <v>154</v>
      </c>
      <c r="E14" s="7" t="s">
        <v>127</v>
      </c>
      <c r="F14" s="7" t="s">
        <v>1741</v>
      </c>
      <c r="G14" s="7" t="str">
        <f t="shared" ref="G14:G18" si="3">IF(F14="フラグ","boolean",IF(F14="文字列","text",IF(F14="整数","integer",IF(F14="実数","numeric",""))))</f>
        <v>text</v>
      </c>
      <c r="H14" s="58"/>
      <c r="I14" s="23" t="s">
        <v>127</v>
      </c>
      <c r="J14" s="24"/>
      <c r="M14" s="4"/>
      <c r="N14" s="74"/>
      <c r="O14" s="74"/>
      <c r="P14" s="74" t="str">
        <f t="shared" ref="P14:P18" si="4">IF(B14&lt;&gt;1,","&amp;D14,D14)</f>
        <v>,receipt_densan_code</v>
      </c>
      <c r="Q14" s="74" t="str">
        <f t="shared" si="0"/>
        <v>TEXT</v>
      </c>
      <c r="R14" s="74" t="str">
        <f t="shared" si="1"/>
        <v/>
      </c>
      <c r="S14" s="74" t="str">
        <f t="shared" ref="S14:S18" si="5">IF(I14="○","NOT NULL","")</f>
        <v>NOT NULL</v>
      </c>
      <c r="T14" s="74" t="str">
        <f t="shared" ref="T14:T18" si="6">"-- "&amp;C14</f>
        <v>-- レセプト電算処理システム用コード</v>
      </c>
      <c r="U14" s="4"/>
      <c r="AA14" s="4"/>
      <c r="AB14" s="4"/>
      <c r="AC14" s="4"/>
      <c r="AD14" s="4"/>
      <c r="AE14" s="4"/>
      <c r="AF14" s="4"/>
      <c r="AG14" s="4"/>
      <c r="AH14" s="4"/>
      <c r="AI14" s="4"/>
      <c r="AJ14" s="74" t="str">
        <f>IF(E14="○",IF(COUNTA(E$13:E14)=1,"",",")&amp;D14,"")</f>
        <v>,receipt_densan_code</v>
      </c>
      <c r="AK14" s="4"/>
      <c r="AL14" s="4"/>
      <c r="AM14" s="4"/>
      <c r="AN14" s="4"/>
      <c r="AO14" s="4"/>
      <c r="AP14" s="4"/>
      <c r="AQ14" s="4"/>
      <c r="AR14" s="4"/>
      <c r="AS14" s="74" t="str">
        <f>"COMMENT ON COLUMN "&amp;エンティティ一覧!$O$2&amp;"."&amp;D$8&amp;"."&amp;D14&amp;" IS '"&amp;C14&amp;"';"</f>
        <v>COMMENT ON COLUMN milscm_2023_007.sgioy_202310_work_shohou_dpc.receipt_densan_code IS 'レセプト電算処理システム用コード';</v>
      </c>
    </row>
    <row r="15" spans="1:45" s="25" customFormat="1">
      <c r="A15" s="4"/>
      <c r="B15" s="21">
        <f t="shared" si="2"/>
        <v>3</v>
      </c>
      <c r="C15" s="13" t="s">
        <v>1747</v>
      </c>
      <c r="D15" s="13" t="s">
        <v>129</v>
      </c>
      <c r="E15" s="7"/>
      <c r="F15" s="7" t="s">
        <v>1748</v>
      </c>
      <c r="G15" s="7" t="str">
        <f t="shared" si="3"/>
        <v>numeric</v>
      </c>
      <c r="H15" s="58"/>
      <c r="I15" s="23"/>
      <c r="J15" s="24"/>
      <c r="M15" s="4"/>
      <c r="N15" s="74"/>
      <c r="O15" s="74"/>
      <c r="P15" s="74" t="str">
        <f t="shared" si="4"/>
        <v>,shiyoryo</v>
      </c>
      <c r="Q15" s="74" t="str">
        <f t="shared" si="0"/>
        <v>NUMERIC</v>
      </c>
      <c r="R15" s="74" t="str">
        <f t="shared" si="1"/>
        <v/>
      </c>
      <c r="S15" s="74" t="str">
        <f t="shared" si="5"/>
        <v/>
      </c>
      <c r="T15" s="74" t="str">
        <f t="shared" si="6"/>
        <v>-- 使用量</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milscm_2023_007.sgioy_202310_work_shohou_dpc.shiyoryo IS '使用量';</v>
      </c>
    </row>
    <row r="16" spans="1:45" s="25" customFormat="1">
      <c r="A16" s="4"/>
      <c r="B16" s="21">
        <f t="shared" si="2"/>
        <v>4</v>
      </c>
      <c r="C16" s="13" t="s">
        <v>1749</v>
      </c>
      <c r="D16" s="13" t="s">
        <v>275</v>
      </c>
      <c r="E16" s="7"/>
      <c r="F16" s="7" t="s">
        <v>1741</v>
      </c>
      <c r="G16" s="7" t="str">
        <f t="shared" si="3"/>
        <v>text</v>
      </c>
      <c r="H16" s="58"/>
      <c r="I16" s="23"/>
      <c r="J16" s="24"/>
      <c r="M16" s="4"/>
      <c r="N16" s="74"/>
      <c r="O16" s="74"/>
      <c r="P16" s="74" t="str">
        <f t="shared" si="4"/>
        <v>,unit</v>
      </c>
      <c r="Q16" s="74" t="str">
        <f t="shared" si="0"/>
        <v>TEXT</v>
      </c>
      <c r="R16" s="74" t="str">
        <f t="shared" si="1"/>
        <v/>
      </c>
      <c r="S16" s="74" t="str">
        <f t="shared" si="5"/>
        <v/>
      </c>
      <c r="T16" s="74" t="str">
        <f t="shared" si="6"/>
        <v>-- 基準単位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milscm_2023_007.sgioy_202310_work_shohou_dpc.unit IS '基準単位';</v>
      </c>
    </row>
    <row r="17" spans="1:52" s="25" customFormat="1">
      <c r="A17" s="4"/>
      <c r="B17" s="21">
        <f t="shared" si="2"/>
        <v>5</v>
      </c>
      <c r="C17" s="13" t="s">
        <v>1753</v>
      </c>
      <c r="D17" s="13" t="s">
        <v>133</v>
      </c>
      <c r="E17" s="7"/>
      <c r="F17" s="7" t="s">
        <v>1748</v>
      </c>
      <c r="G17" s="7" t="str">
        <f t="shared" si="3"/>
        <v>numeric</v>
      </c>
      <c r="H17" s="58"/>
      <c r="I17" s="23"/>
      <c r="J17" s="24"/>
      <c r="M17" s="4"/>
      <c r="N17" s="74"/>
      <c r="O17" s="74"/>
      <c r="P17" s="74" t="str">
        <f t="shared" si="4"/>
        <v>,koi_times</v>
      </c>
      <c r="Q17" s="74" t="str">
        <f t="shared" si="0"/>
        <v>NUMERIC</v>
      </c>
      <c r="R17" s="74" t="str">
        <f t="shared" si="1"/>
        <v/>
      </c>
      <c r="S17" s="74" t="str">
        <f t="shared" si="5"/>
        <v/>
      </c>
      <c r="T17" s="74" t="str">
        <f t="shared" si="6"/>
        <v>-- 行為回数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milscm_2023_007.sgioy_202310_work_shohou_dpc.koi_times IS '行為回数';</v>
      </c>
    </row>
    <row r="18" spans="1:52" s="25" customFormat="1" ht="18" thickBot="1">
      <c r="A18" s="4"/>
      <c r="B18" s="27">
        <f>ROW()-12</f>
        <v>6</v>
      </c>
      <c r="C18" s="57" t="s">
        <v>1755</v>
      </c>
      <c r="D18" s="57" t="s">
        <v>155</v>
      </c>
      <c r="E18" s="56" t="s">
        <v>127</v>
      </c>
      <c r="F18" s="56" t="s">
        <v>1741</v>
      </c>
      <c r="G18" s="56" t="str">
        <f t="shared" si="3"/>
        <v>text</v>
      </c>
      <c r="H18" s="59"/>
      <c r="I18" s="60" t="s">
        <v>127</v>
      </c>
      <c r="J18" s="62"/>
      <c r="N18" s="74"/>
      <c r="O18" s="74"/>
      <c r="P18" s="74" t="str">
        <f t="shared" si="4"/>
        <v>,jisshi_ymd</v>
      </c>
      <c r="Q18" s="74" t="str">
        <f t="shared" si="0"/>
        <v>TEXT</v>
      </c>
      <c r="R18" s="74" t="str">
        <f t="shared" si="1"/>
        <v/>
      </c>
      <c r="S18" s="74" t="str">
        <f t="shared" si="5"/>
        <v>NOT NULL</v>
      </c>
      <c r="T18" s="74" t="str">
        <f t="shared" si="6"/>
        <v>-- 実施年月日</v>
      </c>
      <c r="U18" s="4"/>
      <c r="AA18" s="4"/>
      <c r="AB18" s="4"/>
      <c r="AC18" s="4"/>
      <c r="AD18" s="4"/>
      <c r="AE18" s="4"/>
      <c r="AF18" s="4"/>
      <c r="AG18" s="4"/>
      <c r="AH18" s="4"/>
      <c r="AI18" s="4"/>
      <c r="AJ18" s="74" t="str">
        <f>IF(E18="○",IF(COUNTA(E$13:E18)=1,"",",")&amp;D18,"")</f>
        <v>,jisshi_ymd</v>
      </c>
      <c r="AK18" s="4"/>
      <c r="AL18" s="4"/>
      <c r="AM18" s="4"/>
      <c r="AN18" s="4"/>
      <c r="AO18" s="4"/>
      <c r="AP18" s="4"/>
      <c r="AQ18" s="4"/>
      <c r="AR18" s="4"/>
      <c r="AS18" s="74" t="str">
        <f>"COMMENT ON COLUMN "&amp;エンティティ一覧!$O$2&amp;"."&amp;D$8&amp;"."&amp;D18&amp;" IS '"&amp;C18&amp;"';"</f>
        <v>COMMENT ON COLUMN milscm_2023_007.sgioy_202310_work_shohou_dpc.jisshi_ymd IS '実施年月日';</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ENT_41_13</v>
      </c>
      <c r="E6" s="244"/>
      <c r="F6" s="244"/>
      <c r="G6" s="244"/>
      <c r="H6" s="244"/>
      <c r="I6" s="244"/>
      <c r="J6" s="245"/>
    </row>
    <row r="7" spans="1:45">
      <c r="B7" s="233" t="s">
        <v>115</v>
      </c>
      <c r="C7" s="234"/>
      <c r="D7" s="235" t="s">
        <v>4237</v>
      </c>
      <c r="E7" s="236"/>
      <c r="F7" s="236"/>
      <c r="G7" s="236"/>
      <c r="H7" s="236"/>
      <c r="I7" s="236"/>
      <c r="J7" s="237"/>
    </row>
    <row r="8" spans="1:45">
      <c r="B8" s="233" t="s">
        <v>116</v>
      </c>
      <c r="C8" s="234"/>
      <c r="D8" s="235" t="str">
        <f>エンティティ一覧!AE2&amp;"_"&amp;D5&amp;"_shohou_mml"</f>
        <v>sgioy_202310_work_shohou_mml</v>
      </c>
      <c r="E8" s="236"/>
      <c r="F8" s="236"/>
      <c r="G8" s="236"/>
      <c r="H8" s="236"/>
      <c r="I8" s="236"/>
      <c r="J8" s="237"/>
    </row>
    <row r="9" spans="1:45" ht="19.5" customHeight="1" thickBot="1">
      <c r="B9" s="238" t="s">
        <v>117</v>
      </c>
      <c r="C9" s="239"/>
      <c r="D9" s="240" t="s">
        <v>4238</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milscm_2023_007.sgioy_202310_work_shohou_mml;</v>
      </c>
      <c r="O10" s="74"/>
      <c r="P10" s="74"/>
      <c r="Q10" s="74"/>
      <c r="R10" s="74"/>
      <c r="S10" s="74"/>
      <c r="T10" s="74"/>
      <c r="AJ10" s="74" t="str">
        <f>"ALTER TABLE ONLY "&amp;エンティティ一覧!$O$2&amp;"."&amp;D$8</f>
        <v>ALTER TABLE ONLY milscm_2023_007.sgioy_202310_work_shohou_mml</v>
      </c>
      <c r="AS10" s="74" t="str">
        <f>"ALTER TABLE "&amp;エンティティ一覧!$O$2&amp;"."&amp;D$8&amp;" OWNER TO pgmisgrp1;"</f>
        <v>ALTER TABLE milscm_2023_007.sgioy_202310_work_shohou_mml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milscm_2023_007.sgioy_202310_work_shohou_mml</v>
      </c>
      <c r="O11" s="74"/>
      <c r="P11" s="74"/>
      <c r="Q11" s="74"/>
      <c r="R11" s="74"/>
      <c r="S11" s="74"/>
      <c r="T11" s="74"/>
      <c r="AJ11" s="74" t="str">
        <f>"ADD CONSTRAINT "&amp;D$8&amp;"_pkey PRIMARY KEY"</f>
        <v>ADD CONSTRAINT sgioy_202310_work_shohou_mml_pkey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milscm_2023_007.sgioy_202310_work_shohou_mml IS 'ワーク_処方データ_MML';</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0" si="0">UPPER(G13)</f>
        <v>TEXT</v>
      </c>
      <c r="R13" s="74" t="str">
        <f t="shared" ref="R13:R20"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milscm_2023_007.sgioy_202310_work_shohou_mml.mask_id IS 'マスクID';</v>
      </c>
    </row>
    <row r="14" spans="1:45" s="25" customFormat="1">
      <c r="A14" s="4"/>
      <c r="B14" s="21">
        <f t="shared" ref="B14:B19" si="2">ROW()-12</f>
        <v>2</v>
      </c>
      <c r="C14" s="13" t="s">
        <v>2826</v>
      </c>
      <c r="D14" s="13" t="s">
        <v>2827</v>
      </c>
      <c r="E14" s="7" t="s">
        <v>127</v>
      </c>
      <c r="F14" s="7" t="s">
        <v>1741</v>
      </c>
      <c r="G14" s="7" t="str">
        <f t="shared" ref="G14:G20" si="3">IF(F14="フラグ","boolean",IF(F14="文字列","text",IF(F14="整数","integer",IF(F14="実数","numeric",""))))</f>
        <v>text</v>
      </c>
      <c r="H14" s="58"/>
      <c r="I14" s="23" t="s">
        <v>127</v>
      </c>
      <c r="J14" s="24"/>
      <c r="M14" s="4"/>
      <c r="N14" s="74"/>
      <c r="O14" s="74"/>
      <c r="P14" s="74" t="str">
        <f t="shared" ref="P14:P20" si="4">IF(B14&lt;&gt;1,","&amp;D14,D14)</f>
        <v>,medicine_name</v>
      </c>
      <c r="Q14" s="74" t="str">
        <f t="shared" si="0"/>
        <v>TEXT</v>
      </c>
      <c r="R14" s="74" t="str">
        <f t="shared" si="1"/>
        <v/>
      </c>
      <c r="S14" s="74" t="str">
        <f t="shared" ref="S14:S20" si="5">IF(I14="○","NOT NULL","")</f>
        <v>NOT NULL</v>
      </c>
      <c r="T14" s="74" t="str">
        <f t="shared" ref="T14:T20" si="6">"-- "&amp;C14</f>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milscm_2023_007.sgioy_202310_work_shohou_mml.medicine_name IS '薬剤名称';</v>
      </c>
    </row>
    <row r="15" spans="1:45" s="25" customFormat="1">
      <c r="A15" s="4"/>
      <c r="B15" s="21">
        <f t="shared" si="2"/>
        <v>3</v>
      </c>
      <c r="C15" s="13" t="s">
        <v>2828</v>
      </c>
      <c r="D15" s="13" t="s">
        <v>2829</v>
      </c>
      <c r="E15" s="7"/>
      <c r="F15" s="7" t="s">
        <v>1741</v>
      </c>
      <c r="G15" s="7" t="str">
        <f t="shared" si="3"/>
        <v>text</v>
      </c>
      <c r="H15" s="58"/>
      <c r="I15" s="23"/>
      <c r="J15" s="24"/>
      <c r="M15" s="4"/>
      <c r="N15" s="74"/>
      <c r="O15" s="74"/>
      <c r="P15" s="74" t="str">
        <f t="shared" si="4"/>
        <v>,dose</v>
      </c>
      <c r="Q15" s="74" t="str">
        <f t="shared" si="0"/>
        <v>TEXT</v>
      </c>
      <c r="R15" s="74" t="str">
        <f t="shared" si="1"/>
        <v/>
      </c>
      <c r="S15" s="74" t="str">
        <f t="shared" si="5"/>
        <v/>
      </c>
      <c r="T15" s="74" t="str">
        <f t="shared" si="6"/>
        <v>-- 用量</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milscm_2023_007.sgioy_202310_work_shohou_mml.dose IS '用量';</v>
      </c>
    </row>
    <row r="16" spans="1:45" s="25" customFormat="1">
      <c r="A16" s="4"/>
      <c r="B16" s="21">
        <f t="shared" si="2"/>
        <v>4</v>
      </c>
      <c r="C16" s="13" t="s">
        <v>2830</v>
      </c>
      <c r="D16" s="13" t="s">
        <v>2831</v>
      </c>
      <c r="E16" s="7"/>
      <c r="F16" s="7" t="s">
        <v>1741</v>
      </c>
      <c r="G16" s="7" t="str">
        <f t="shared" si="3"/>
        <v>text</v>
      </c>
      <c r="H16" s="58"/>
      <c r="I16" s="23"/>
      <c r="J16" s="24"/>
      <c r="M16" s="4"/>
      <c r="N16" s="74"/>
      <c r="O16" s="74"/>
      <c r="P16" s="74" t="str">
        <f t="shared" si="4"/>
        <v>,dose_unit</v>
      </c>
      <c r="Q16" s="74" t="str">
        <f t="shared" si="0"/>
        <v>TEXT</v>
      </c>
      <c r="R16" s="74" t="str">
        <f t="shared" si="1"/>
        <v/>
      </c>
      <c r="S16" s="74" t="str">
        <f t="shared" si="5"/>
        <v/>
      </c>
      <c r="T16" s="74" t="str">
        <f t="shared" si="6"/>
        <v>-- 用量の単位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milscm_2023_007.sgioy_202310_work_shohou_mml.dose_unit IS '用量の単位';</v>
      </c>
    </row>
    <row r="17" spans="1:52" s="25" customFormat="1">
      <c r="A17" s="4"/>
      <c r="B17" s="21">
        <f t="shared" si="2"/>
        <v>5</v>
      </c>
      <c r="C17" s="13" t="s">
        <v>2832</v>
      </c>
      <c r="D17" s="13" t="s">
        <v>2833</v>
      </c>
      <c r="E17" s="7"/>
      <c r="F17" s="7" t="s">
        <v>1741</v>
      </c>
      <c r="G17" s="7" t="str">
        <f t="shared" si="3"/>
        <v>text</v>
      </c>
      <c r="H17" s="58"/>
      <c r="I17" s="23"/>
      <c r="J17" s="24"/>
      <c r="M17" s="4"/>
      <c r="N17" s="74"/>
      <c r="O17" s="74"/>
      <c r="P17" s="74" t="str">
        <f t="shared" si="4"/>
        <v>,frequency_per_day</v>
      </c>
      <c r="Q17" s="74" t="str">
        <f t="shared" si="0"/>
        <v>TEXT</v>
      </c>
      <c r="R17" s="74" t="str">
        <f t="shared" si="1"/>
        <v/>
      </c>
      <c r="S17" s="74" t="str">
        <f t="shared" si="5"/>
        <v/>
      </c>
      <c r="T17" s="74" t="str">
        <f t="shared" si="6"/>
        <v>-- 一日の内服回数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milscm_2023_007.sgioy_202310_work_shohou_mml.frequency_per_day IS '一日の内服回数';</v>
      </c>
    </row>
    <row r="18" spans="1:52" s="25" customFormat="1">
      <c r="A18" s="4"/>
      <c r="B18" s="21">
        <f t="shared" si="2"/>
        <v>6</v>
      </c>
      <c r="C18" s="13" t="s">
        <v>2834</v>
      </c>
      <c r="D18" s="13" t="s">
        <v>2793</v>
      </c>
      <c r="E18" s="7" t="s">
        <v>127</v>
      </c>
      <c r="F18" s="7" t="s">
        <v>1741</v>
      </c>
      <c r="G18" s="7" t="str">
        <f t="shared" ref="G18:G19" si="7">IF(F18="フラグ","boolean",IF(F18="文字列","text",IF(F18="整数","integer",IF(F18="実数","numeric",""))))</f>
        <v>text</v>
      </c>
      <c r="H18" s="58"/>
      <c r="I18" s="23" t="s">
        <v>3837</v>
      </c>
      <c r="J18" s="24"/>
      <c r="M18" s="4"/>
      <c r="N18" s="74"/>
      <c r="O18" s="74"/>
      <c r="P18" s="74" t="str">
        <f t="shared" ref="P18:P19" si="8">IF(B18&lt;&gt;1,","&amp;D18,D18)</f>
        <v>,start_date</v>
      </c>
      <c r="Q18" s="74" t="str">
        <f t="shared" ref="Q18:Q19" si="9">UPPER(G18)</f>
        <v>TEXT</v>
      </c>
      <c r="R18" s="74" t="str">
        <f t="shared" ref="R18:R19" si="10">IF(H18&lt;&gt;"","default "&amp;IF(G18="text","'"&amp;H18&amp;"'",H18),"")</f>
        <v/>
      </c>
      <c r="S18" s="74" t="str">
        <f t="shared" ref="S18:S19" si="11">IF(I18="○","NOT NULL","")</f>
        <v>NOT NULL</v>
      </c>
      <c r="T18" s="74" t="str">
        <f t="shared" ref="T18:T19" si="12">"-- "&amp;C18</f>
        <v>-- 服薬開始日</v>
      </c>
      <c r="U18" s="4"/>
      <c r="AA18" s="4"/>
      <c r="AB18" s="4"/>
      <c r="AC18" s="4"/>
      <c r="AD18" s="4"/>
      <c r="AE18" s="4"/>
      <c r="AF18" s="4"/>
      <c r="AG18" s="4"/>
      <c r="AH18" s="4"/>
      <c r="AI18" s="4"/>
      <c r="AJ18" s="74" t="str">
        <f>IF(E18="○",IF(COUNTA(E$13:E18)=1,"",",")&amp;D18,"")</f>
        <v>,start_date</v>
      </c>
      <c r="AK18" s="4"/>
      <c r="AL18" s="4"/>
      <c r="AM18" s="4"/>
      <c r="AN18" s="4"/>
      <c r="AO18" s="4"/>
      <c r="AP18" s="4"/>
      <c r="AQ18" s="4"/>
      <c r="AR18" s="4"/>
      <c r="AS18" s="74" t="str">
        <f>"COMMENT ON COLUMN "&amp;エンティティ一覧!$O$2&amp;"."&amp;D$8&amp;"."&amp;D18&amp;" IS '"&amp;C18&amp;"';"</f>
        <v>COMMENT ON COLUMN milscm_2023_007.sgioy_202310_work_shohou_mml.start_date IS '服薬開始日';</v>
      </c>
    </row>
    <row r="19" spans="1:52" s="25" customFormat="1">
      <c r="A19" s="4"/>
      <c r="B19" s="21">
        <f t="shared" si="2"/>
        <v>7</v>
      </c>
      <c r="C19" s="13" t="s">
        <v>2835</v>
      </c>
      <c r="D19" s="13" t="s">
        <v>2836</v>
      </c>
      <c r="E19" s="7"/>
      <c r="F19" s="7" t="s">
        <v>1741</v>
      </c>
      <c r="G19" s="7" t="str">
        <f t="shared" si="7"/>
        <v>text</v>
      </c>
      <c r="H19" s="58"/>
      <c r="I19" s="23"/>
      <c r="J19" s="24"/>
      <c r="M19" s="4"/>
      <c r="N19" s="74"/>
      <c r="O19" s="74"/>
      <c r="P19" s="74" t="str">
        <f t="shared" si="8"/>
        <v>,duration</v>
      </c>
      <c r="Q19" s="74" t="str">
        <f t="shared" si="9"/>
        <v>TEXT</v>
      </c>
      <c r="R19" s="74" t="str">
        <f t="shared" si="10"/>
        <v/>
      </c>
      <c r="S19" s="74" t="str">
        <f t="shared" si="11"/>
        <v/>
      </c>
      <c r="T19" s="74" t="str">
        <f t="shared" si="12"/>
        <v>-- 服薬期間（日数）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milscm_2023_007.sgioy_202310_work_shohou_mml.duration IS '服薬期間（日数）';</v>
      </c>
    </row>
    <row r="20" spans="1:52" s="25" customFormat="1" ht="18" thickBot="1">
      <c r="A20" s="4"/>
      <c r="B20" s="27">
        <f>ROW()-12</f>
        <v>8</v>
      </c>
      <c r="C20" s="57" t="s">
        <v>2837</v>
      </c>
      <c r="D20" s="57" t="s">
        <v>2838</v>
      </c>
      <c r="E20" s="56"/>
      <c r="F20" s="56" t="s">
        <v>1741</v>
      </c>
      <c r="G20" s="56" t="str">
        <f t="shared" si="3"/>
        <v>text</v>
      </c>
      <c r="H20" s="59"/>
      <c r="I20" s="60"/>
      <c r="J20" s="62"/>
      <c r="N20" s="74"/>
      <c r="O20" s="74"/>
      <c r="P20" s="74" t="str">
        <f t="shared" si="4"/>
        <v>,instruction</v>
      </c>
      <c r="Q20" s="74" t="str">
        <f t="shared" si="0"/>
        <v>TEXT</v>
      </c>
      <c r="R20" s="74" t="str">
        <f t="shared" si="1"/>
        <v/>
      </c>
      <c r="S20" s="74" t="str">
        <f t="shared" si="5"/>
        <v/>
      </c>
      <c r="T20" s="74" t="str">
        <f t="shared" si="6"/>
        <v>-- 用法指示</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milscm_2023_007.sgioy_202310_work_shohou_mml.instruction IS '用法指示';</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2" t="s">
        <v>110</v>
      </c>
      <c r="C1" s="223"/>
      <c r="D1" s="226" t="s">
        <v>111</v>
      </c>
      <c r="E1" s="227"/>
      <c r="F1" s="227"/>
      <c r="G1" s="218"/>
      <c r="H1" s="226" t="s">
        <v>112</v>
      </c>
      <c r="I1" s="218"/>
      <c r="J1" s="15" t="s">
        <v>113</v>
      </c>
    </row>
    <row r="2" spans="1:52" ht="18" thickBot="1">
      <c r="B2" s="224"/>
      <c r="C2" s="225"/>
      <c r="D2" s="228" t="s">
        <v>114</v>
      </c>
      <c r="E2" s="229"/>
      <c r="F2" s="229"/>
      <c r="G2" s="230"/>
      <c r="H2" s="231"/>
      <c r="I2" s="232"/>
      <c r="J2" s="17"/>
    </row>
    <row r="3" spans="1:52" ht="18" thickBot="1">
      <c r="B3" s="5"/>
      <c r="C3" s="5"/>
      <c r="D3" s="5"/>
      <c r="E3" s="5"/>
      <c r="F3" s="5"/>
      <c r="G3" s="5"/>
      <c r="H3" s="5"/>
      <c r="I3" s="5"/>
      <c r="J3" s="18"/>
    </row>
    <row r="4" spans="1:52">
      <c r="B4" s="217" t="s">
        <v>3718</v>
      </c>
      <c r="C4" s="218"/>
      <c r="D4" s="219" t="str">
        <f>VLOOKUP(D7,エンティティ一覧!A1:'エンティティ一覧'!AM10179,2,FALSE)</f>
        <v>41</v>
      </c>
      <c r="E4" s="220"/>
      <c r="F4" s="220"/>
      <c r="G4" s="220"/>
      <c r="H4" s="220"/>
      <c r="I4" s="220"/>
      <c r="J4" s="221"/>
    </row>
    <row r="5" spans="1:52">
      <c r="B5" s="233" t="s">
        <v>3719</v>
      </c>
      <c r="C5" s="234"/>
      <c r="D5" s="243" t="str">
        <f>VLOOKUP(D7,エンティティ一覧!A1:'エンティティ一覧'!AM10179,7,FALSE)</f>
        <v>work</v>
      </c>
      <c r="E5" s="244"/>
      <c r="F5" s="244"/>
      <c r="G5" s="244"/>
      <c r="H5" s="244"/>
      <c r="I5" s="244"/>
      <c r="J5" s="245"/>
    </row>
    <row r="6" spans="1:52">
      <c r="B6" s="233" t="s">
        <v>3720</v>
      </c>
      <c r="C6" s="234"/>
      <c r="D6" s="243" t="str">
        <f>VLOOKUP(D7,エンティティ一覧!A1:'エンティティ一覧'!AM10179,15,FALSE)</f>
        <v>ENT_41_14</v>
      </c>
      <c r="E6" s="244"/>
      <c r="F6" s="244"/>
      <c r="G6" s="244"/>
      <c r="H6" s="244"/>
      <c r="I6" s="244"/>
      <c r="J6" s="245"/>
    </row>
    <row r="7" spans="1:52">
      <c r="B7" s="233" t="s">
        <v>115</v>
      </c>
      <c r="C7" s="234"/>
      <c r="D7" s="235" t="s">
        <v>4171</v>
      </c>
      <c r="E7" s="236"/>
      <c r="F7" s="236"/>
      <c r="G7" s="236"/>
      <c r="H7" s="236"/>
      <c r="I7" s="236"/>
      <c r="J7" s="237"/>
    </row>
    <row r="8" spans="1:52">
      <c r="B8" s="233" t="s">
        <v>116</v>
      </c>
      <c r="C8" s="234"/>
      <c r="D8" s="235" t="str">
        <f>エンティティ一覧!AE2&amp;"_"&amp;D5&amp;"_shinryou_koui"</f>
        <v>sgioy_202310_work_shinryou_koui</v>
      </c>
      <c r="E8" s="236"/>
      <c r="F8" s="236"/>
      <c r="G8" s="236"/>
      <c r="H8" s="236"/>
      <c r="I8" s="236"/>
      <c r="J8" s="237"/>
    </row>
    <row r="9" spans="1:52" ht="19.5" customHeight="1" thickBot="1">
      <c r="B9" s="238" t="s">
        <v>117</v>
      </c>
      <c r="C9" s="239"/>
      <c r="D9" s="240" t="s">
        <v>4239</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milscm_2023_007.sgioy_202310_work_shinryou_koui;</v>
      </c>
      <c r="O10" s="74"/>
      <c r="P10" s="74"/>
      <c r="Q10" s="74"/>
      <c r="R10" s="74"/>
      <c r="S10" s="74"/>
      <c r="T10" s="74"/>
      <c r="AJ10" s="74" t="str">
        <f>"ALTER TABLE ONLY "&amp;エンティティ一覧!$O$2&amp;"."&amp;D$8</f>
        <v>ALTER TABLE ONLY milscm_2023_007.sgioy_202310_work_shinryou_koui</v>
      </c>
      <c r="AS10" s="74" t="str">
        <f>"ALTER TABLE "&amp;エンティティ一覧!$O$2&amp;"."&amp;D$8&amp;" OWNER TO pgmisgrp1;"</f>
        <v>ALTER TABLE milscm_2023_007.sgioy_202310_work_shinryou_koui OWNER TO pgmisgrp1;</v>
      </c>
    </row>
    <row r="11" spans="1:52" ht="18" thickBot="1">
      <c r="B11" s="20" t="s">
        <v>118</v>
      </c>
      <c r="C11" s="19"/>
      <c r="D11" s="5"/>
      <c r="E11" s="5"/>
      <c r="F11" s="5"/>
      <c r="G11" s="5"/>
      <c r="H11" s="5"/>
      <c r="I11" s="5"/>
      <c r="J11" s="18"/>
      <c r="N11" s="74" t="str">
        <f>"CREATE TABLE  "&amp;エンティティ一覧!$O$2&amp;"."&amp;D$8</f>
        <v>CREATE TABLE  milscm_2023_007.sgioy_202310_work_shinryou_koui</v>
      </c>
      <c r="O11" s="74"/>
      <c r="P11" s="74"/>
      <c r="Q11" s="74"/>
      <c r="R11" s="74"/>
      <c r="S11" s="74"/>
      <c r="T11" s="74"/>
      <c r="AJ11" s="74" t="str">
        <f>"ADD CONSTRAINT "&amp;D$8&amp;"_pkey PRIMARY KEY"</f>
        <v>ADD CONSTRAINT sgioy_202310_work_shinryou_koui_pkey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milscm_2023_007.sgioy_202310_work_shinryou_koui IS 'ワーク_診療行為データ';</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milscm_2023_007.sgioy_202310_work_shinryou_koui.mask_id IS 'マスクID';</v>
      </c>
    </row>
    <row r="14" spans="1:52" s="25" customFormat="1">
      <c r="A14" s="4"/>
      <c r="B14" s="21">
        <f t="shared" ref="B14" si="2">ROW()-12</f>
        <v>2</v>
      </c>
      <c r="C14" s="13" t="s">
        <v>145</v>
      </c>
      <c r="D14" s="13" t="s">
        <v>154</v>
      </c>
      <c r="E14" s="7" t="s">
        <v>127</v>
      </c>
      <c r="F14" s="7" t="s">
        <v>1741</v>
      </c>
      <c r="G14" s="7" t="str">
        <f t="shared" ref="G14:G15" si="3">IF(F14="フラグ","boolean",IF(F14="文字列","text",IF(F14="整数","integer",IF(F14="実数","numeric",""))))</f>
        <v>text</v>
      </c>
      <c r="H14" s="58"/>
      <c r="I14" s="23" t="s">
        <v>127</v>
      </c>
      <c r="J14" s="24"/>
      <c r="M14" s="4"/>
      <c r="N14" s="74"/>
      <c r="O14" s="74"/>
      <c r="P14" s="74" t="str">
        <f t="shared" ref="P14:P15" si="4">IF(B14&lt;&gt;1,","&amp;D14,D14)</f>
        <v>,receipt_densan_code</v>
      </c>
      <c r="Q14" s="74" t="str">
        <f t="shared" si="0"/>
        <v>TEXT</v>
      </c>
      <c r="R14" s="74" t="str">
        <f t="shared" si="1"/>
        <v/>
      </c>
      <c r="S14" s="74" t="str">
        <f t="shared" ref="S14:S15" si="5">IF(I14="○","NOT NULL","")</f>
        <v>NOT NULL</v>
      </c>
      <c r="T14" s="74" t="str">
        <f t="shared" ref="T14:T15" si="6">"-- "&amp;C14</f>
        <v>-- レセプト電算処理システム用コード</v>
      </c>
      <c r="U14" s="4"/>
      <c r="AA14" s="4"/>
      <c r="AB14" s="4"/>
      <c r="AC14" s="4"/>
      <c r="AD14" s="4"/>
      <c r="AE14" s="4"/>
      <c r="AF14" s="4"/>
      <c r="AG14" s="4"/>
      <c r="AH14" s="4"/>
      <c r="AI14" s="4"/>
      <c r="AJ14" s="74" t="str">
        <f>IF(E14="○",IF(COUNTA(E$13:E14)=1,"",",")&amp;D14,"")</f>
        <v>,receipt_densan_code</v>
      </c>
      <c r="AK14" s="4"/>
      <c r="AL14" s="4"/>
      <c r="AM14" s="4"/>
      <c r="AN14" s="4"/>
      <c r="AO14" s="4"/>
      <c r="AP14" s="4"/>
      <c r="AQ14" s="4"/>
      <c r="AR14" s="4"/>
      <c r="AS14" s="74" t="str">
        <f>"COMMENT ON COLUMN "&amp;エンティティ一覧!$O$2&amp;"."&amp;D$8&amp;"."&amp;D14&amp;" IS '"&amp;C14&amp;"';"</f>
        <v>COMMENT ON COLUMN milscm_2023_007.sgioy_202310_work_shinryou_koui.receipt_densan_code IS 'レセプト電算処理システム用コード';</v>
      </c>
    </row>
    <row r="15" spans="1:52" s="25" customFormat="1" ht="18" thickBot="1">
      <c r="A15" s="4"/>
      <c r="B15" s="27">
        <f>ROW()-12</f>
        <v>3</v>
      </c>
      <c r="C15" s="57" t="s">
        <v>1755</v>
      </c>
      <c r="D15" s="57" t="s">
        <v>155</v>
      </c>
      <c r="E15" s="56" t="s">
        <v>127</v>
      </c>
      <c r="F15" s="56" t="s">
        <v>1741</v>
      </c>
      <c r="G15" s="56" t="str">
        <f t="shared" si="3"/>
        <v>text</v>
      </c>
      <c r="H15" s="59"/>
      <c r="I15" s="60" t="s">
        <v>127</v>
      </c>
      <c r="J15" s="62"/>
      <c r="N15" s="74"/>
      <c r="O15" s="74"/>
      <c r="P15" s="74" t="str">
        <f t="shared" si="4"/>
        <v>,jisshi_ymd</v>
      </c>
      <c r="Q15" s="74" t="str">
        <f t="shared" si="0"/>
        <v>TEXT</v>
      </c>
      <c r="R15" s="74" t="str">
        <f t="shared" si="1"/>
        <v/>
      </c>
      <c r="S15" s="74" t="str">
        <f t="shared" si="5"/>
        <v>NOT NULL</v>
      </c>
      <c r="T15" s="74" t="str">
        <f t="shared" si="6"/>
        <v>-- 実施年月日</v>
      </c>
      <c r="U15" s="4"/>
      <c r="AA15" s="4"/>
      <c r="AB15" s="4"/>
      <c r="AC15" s="4"/>
      <c r="AD15" s="4"/>
      <c r="AE15" s="4"/>
      <c r="AF15" s="4"/>
      <c r="AG15" s="4"/>
      <c r="AH15" s="4"/>
      <c r="AI15" s="4"/>
      <c r="AJ15" s="74" t="str">
        <f>IF(E15="○",IF(COUNTA(E$13:E15)=1,"",",")&amp;D15,"")</f>
        <v>,jisshi_ymd</v>
      </c>
      <c r="AK15" s="4"/>
      <c r="AL15" s="4"/>
      <c r="AM15" s="4"/>
      <c r="AN15" s="4"/>
      <c r="AO15" s="4"/>
      <c r="AP15" s="4"/>
      <c r="AQ15" s="4"/>
      <c r="AR15" s="4"/>
      <c r="AS15" s="74" t="str">
        <f>"COMMENT ON COLUMN "&amp;エンティティ一覧!$O$2&amp;"."&amp;D$8&amp;"."&amp;D15&amp;" IS '"&amp;C15&amp;"';"</f>
        <v>COMMENT ON COLUMN milscm_2023_007.sgioy_202310_work_shinryou_koui.jisshi_ymd IS '実施年月日';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ENT_41_15</v>
      </c>
      <c r="E6" s="244"/>
      <c r="F6" s="244"/>
      <c r="G6" s="244"/>
      <c r="H6" s="244"/>
      <c r="I6" s="244"/>
      <c r="J6" s="245"/>
    </row>
    <row r="7" spans="1:45">
      <c r="B7" s="233" t="s">
        <v>115</v>
      </c>
      <c r="C7" s="234"/>
      <c r="D7" s="235" t="s">
        <v>4241</v>
      </c>
      <c r="E7" s="236"/>
      <c r="F7" s="236"/>
      <c r="G7" s="236"/>
      <c r="H7" s="236"/>
      <c r="I7" s="236"/>
      <c r="J7" s="237"/>
    </row>
    <row r="8" spans="1:45">
      <c r="B8" s="233" t="s">
        <v>116</v>
      </c>
      <c r="C8" s="234"/>
      <c r="D8" s="235" t="str">
        <f>エンティティ一覧!AE2&amp;"_"&amp;D5&amp;"_kensa_scm2"</f>
        <v>sgioy_202310_work_kensa_scm2</v>
      </c>
      <c r="E8" s="236"/>
      <c r="F8" s="236"/>
      <c r="G8" s="236"/>
      <c r="H8" s="236"/>
      <c r="I8" s="236"/>
      <c r="J8" s="237"/>
    </row>
    <row r="9" spans="1:45" ht="19.5" customHeight="1" thickBot="1">
      <c r="B9" s="238" t="s">
        <v>117</v>
      </c>
      <c r="C9" s="239"/>
      <c r="D9" s="240" t="s">
        <v>4240</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milscm_2023_007.sgioy_202310_work_kensa_scm2;</v>
      </c>
      <c r="O10" s="74"/>
      <c r="P10" s="74"/>
      <c r="Q10" s="74"/>
      <c r="R10" s="74"/>
      <c r="S10" s="74"/>
      <c r="T10" s="74"/>
      <c r="AJ10" s="74" t="str">
        <f>"ALTER TABLE ONLY "&amp;エンティティ一覧!$O$2&amp;"."&amp;D$8</f>
        <v>ALTER TABLE ONLY milscm_2023_007.sgioy_202310_work_kensa_scm2</v>
      </c>
      <c r="AS10" s="74" t="str">
        <f>"ALTER TABLE "&amp;エンティティ一覧!$O$2&amp;"."&amp;D$8&amp;" OWNER TO pgmisgrp1;"</f>
        <v>ALTER TABLE milscm_2023_007.sgioy_202310_work_kensa_scm2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milscm_2023_007.sgioy_202310_work_kensa_scm2</v>
      </c>
      <c r="O11" s="74"/>
      <c r="P11" s="74"/>
      <c r="Q11" s="74"/>
      <c r="R11" s="74"/>
      <c r="S11" s="74"/>
      <c r="T11" s="74"/>
      <c r="AJ11" s="74" t="str">
        <f>"ADD CONSTRAINT "&amp;D$8&amp;"_pkey PRIMARY KEY"</f>
        <v>ADD CONSTRAINT sgioy_202310_work_kensa_scm2_pkey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milscm_2023_007.sgioy_202310_work_kensa_scm2 IS 'ワーク_検体検査データ_スキーマ2';</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1" si="0">UPPER(G13)</f>
        <v>TEXT</v>
      </c>
      <c r="R13" s="74" t="str">
        <f t="shared" ref="R13:R21"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milscm_2023_007.sgioy_202310_work_kensa_scm2.mask_id IS 'マスクID';</v>
      </c>
    </row>
    <row r="14" spans="1:45" s="25" customFormat="1">
      <c r="A14" s="4"/>
      <c r="B14" s="21">
        <f t="shared" ref="B14:B20" si="2">ROW()-12</f>
        <v>2</v>
      </c>
      <c r="C14" s="13" t="s">
        <v>1610</v>
      </c>
      <c r="D14" s="13" t="s">
        <v>1611</v>
      </c>
      <c r="E14" s="7" t="s">
        <v>127</v>
      </c>
      <c r="F14" s="7" t="s">
        <v>1741</v>
      </c>
      <c r="G14" s="7" t="str">
        <f t="shared" ref="G14:G21" si="3">IF(F14="フラグ","boolean",IF(F14="文字列","text",IF(F14="整数","integer",IF(F14="実数","numeric",""))))</f>
        <v>text</v>
      </c>
      <c r="H14" s="58"/>
      <c r="I14" s="23" t="s">
        <v>127</v>
      </c>
      <c r="J14" s="24"/>
      <c r="M14" s="4"/>
      <c r="N14" s="74"/>
      <c r="O14" s="74"/>
      <c r="P14" s="74" t="str">
        <f t="shared" ref="P14:P21" si="4">IF(B14&lt;&gt;1,","&amp;D14,D14)</f>
        <v>,specimen_name</v>
      </c>
      <c r="Q14" s="74" t="str">
        <f t="shared" si="0"/>
        <v>TEXT</v>
      </c>
      <c r="R14" s="74" t="str">
        <f t="shared" si="1"/>
        <v/>
      </c>
      <c r="S14" s="74" t="str">
        <f t="shared" ref="S14:S21" si="5">IF(I14="○","NOT NULL","")</f>
        <v>NOT NULL</v>
      </c>
      <c r="T14" s="74" t="str">
        <f t="shared" ref="T14:T21"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milscm_2023_007.sgioy_202310_work_kensa_scm2.specimen_name IS '検体材料';</v>
      </c>
    </row>
    <row r="15" spans="1:45" s="25" customFormat="1">
      <c r="A15" s="4"/>
      <c r="B15" s="21">
        <f t="shared" si="2"/>
        <v>3</v>
      </c>
      <c r="C15" s="13" t="s">
        <v>1612</v>
      </c>
      <c r="D15" s="13" t="s">
        <v>1613</v>
      </c>
      <c r="E15" s="7" t="s">
        <v>127</v>
      </c>
      <c r="F15" s="7" t="s">
        <v>1741</v>
      </c>
      <c r="G15" s="7" t="str">
        <f t="shared" si="3"/>
        <v>text</v>
      </c>
      <c r="H15" s="58"/>
      <c r="I15" s="23" t="s">
        <v>3837</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milscm_2023_007.sgioy_202310_work_kensa_scm2.sp_code IS '検体材料コード';</v>
      </c>
    </row>
    <row r="16" spans="1:45" s="25" customFormat="1">
      <c r="A16" s="4"/>
      <c r="B16" s="21">
        <f t="shared" si="2"/>
        <v>4</v>
      </c>
      <c r="C16" s="13" t="s">
        <v>1627</v>
      </c>
      <c r="D16" s="13" t="s">
        <v>1628</v>
      </c>
      <c r="E16" s="7" t="s">
        <v>127</v>
      </c>
      <c r="F16" s="7" t="s">
        <v>1741</v>
      </c>
      <c r="G16" s="7" t="str">
        <f t="shared" si="3"/>
        <v>text</v>
      </c>
      <c r="H16" s="58"/>
      <c r="I16" s="23" t="s">
        <v>3837</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milscm_2023_007.sgioy_202310_work_kensa_scm2.item_name IS '項目名';</v>
      </c>
    </row>
    <row r="17" spans="1:52" s="25" customFormat="1">
      <c r="A17" s="4"/>
      <c r="B17" s="21">
        <f t="shared" si="2"/>
        <v>5</v>
      </c>
      <c r="C17" s="13" t="s">
        <v>1629</v>
      </c>
      <c r="D17" s="13" t="s">
        <v>1630</v>
      </c>
      <c r="E17" s="7" t="s">
        <v>127</v>
      </c>
      <c r="F17" s="7" t="s">
        <v>1741</v>
      </c>
      <c r="G17" s="7" t="str">
        <f t="shared" si="3"/>
        <v>text</v>
      </c>
      <c r="H17" s="58"/>
      <c r="I17" s="23" t="s">
        <v>3837</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milscm_2023_007.sgioy_202310_work_kensa_scm2.facility_it_code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3837</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milscm_2023_007.sgioy_202310_work_kensa_scm2.unit IS '単位';</v>
      </c>
    </row>
    <row r="19" spans="1:52" s="25" customFormat="1">
      <c r="A19" s="4"/>
      <c r="B19" s="21">
        <f t="shared" si="2"/>
        <v>7</v>
      </c>
      <c r="C19" s="13" t="s">
        <v>1552</v>
      </c>
      <c r="D19" s="13" t="s">
        <v>1553</v>
      </c>
      <c r="E19" s="7" t="s">
        <v>127</v>
      </c>
      <c r="F19" s="7" t="s">
        <v>1741</v>
      </c>
      <c r="G19" s="7" t="str">
        <f t="shared" ref="G19:G20" si="7">IF(F19="フラグ","boolean",IF(F19="文字列","text",IF(F19="整数","integer",IF(F19="実数","numeric",""))))</f>
        <v>text</v>
      </c>
      <c r="H19" s="58"/>
      <c r="I19" s="23" t="s">
        <v>3837</v>
      </c>
      <c r="J19" s="24"/>
      <c r="M19" s="4"/>
      <c r="N19" s="74"/>
      <c r="O19" s="74"/>
      <c r="P19" s="74" t="str">
        <f t="shared" ref="P19:P20" si="8">IF(B19&lt;&gt;1,","&amp;D19,D19)</f>
        <v>,sample_time</v>
      </c>
      <c r="Q19" s="74" t="str">
        <f t="shared" ref="Q19:Q20" si="9">UPPER(G19)</f>
        <v>TEXT</v>
      </c>
      <c r="R19" s="74" t="str">
        <f t="shared" ref="R19:R20" si="10">IF(H19&lt;&gt;"","default "&amp;IF(G19="text","'"&amp;H19&amp;"'",H19),"")</f>
        <v/>
      </c>
      <c r="S19" s="74" t="str">
        <f t="shared" ref="S19:S20" si="11">IF(I19="○","NOT NULL","")</f>
        <v>NOT NULL</v>
      </c>
      <c r="T19" s="74" t="str">
        <f t="shared" ref="T19:T20" si="12">"-- "&amp;C19</f>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milscm_2023_007.sgioy_202310_work_kensa_scm2.sample_time IS '採取日時';</v>
      </c>
    </row>
    <row r="20" spans="1:52" s="25" customFormat="1">
      <c r="A20" s="4"/>
      <c r="B20" s="21">
        <f t="shared" si="2"/>
        <v>8</v>
      </c>
      <c r="C20" s="13" t="s">
        <v>1643</v>
      </c>
      <c r="D20" s="13" t="s">
        <v>1644</v>
      </c>
      <c r="E20" s="7" t="s">
        <v>127</v>
      </c>
      <c r="F20" s="7" t="s">
        <v>1741</v>
      </c>
      <c r="G20" s="7" t="str">
        <f t="shared" si="7"/>
        <v>text</v>
      </c>
      <c r="H20" s="58"/>
      <c r="I20" s="23"/>
      <c r="J20" s="24"/>
      <c r="M20" s="4"/>
      <c r="N20" s="74"/>
      <c r="O20" s="74"/>
      <c r="P20" s="74" t="str">
        <f t="shared" si="8"/>
        <v>,value</v>
      </c>
      <c r="Q20" s="74" t="str">
        <f t="shared" si="9"/>
        <v>TEXT</v>
      </c>
      <c r="R20" s="74" t="str">
        <f t="shared" si="10"/>
        <v/>
      </c>
      <c r="S20" s="74" t="str">
        <f t="shared" si="11"/>
        <v/>
      </c>
      <c r="T20" s="74" t="str">
        <f t="shared" si="12"/>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milscm_2023_007.sgioy_202310_work_kensa_scm2.value IS '検査結果値';</v>
      </c>
    </row>
    <row r="21" spans="1:52" s="25" customFormat="1" ht="18" thickBot="1">
      <c r="A21" s="4"/>
      <c r="B21" s="27">
        <f>ROW()-12</f>
        <v>9</v>
      </c>
      <c r="C21" s="57" t="s">
        <v>4243</v>
      </c>
      <c r="D21" s="57" t="s">
        <v>1646</v>
      </c>
      <c r="E21" s="56" t="s">
        <v>127</v>
      </c>
      <c r="F21" s="56" t="s">
        <v>1741</v>
      </c>
      <c r="G21" s="56" t="str">
        <f t="shared" si="3"/>
        <v>text</v>
      </c>
      <c r="H21" s="59"/>
      <c r="I21" s="60"/>
      <c r="J21" s="62"/>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milscm_2023_007.sgioy_202310_work_kensa_scm2.num_value IS '数値結果';</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ENT_41_16</v>
      </c>
      <c r="E6" s="244"/>
      <c r="F6" s="244"/>
      <c r="G6" s="244"/>
      <c r="H6" s="244"/>
      <c r="I6" s="244"/>
      <c r="J6" s="245"/>
    </row>
    <row r="7" spans="1:45">
      <c r="B7" s="233" t="s">
        <v>115</v>
      </c>
      <c r="C7" s="234"/>
      <c r="D7" s="235" t="s">
        <v>4244</v>
      </c>
      <c r="E7" s="236"/>
      <c r="F7" s="236"/>
      <c r="G7" s="236"/>
      <c r="H7" s="236"/>
      <c r="I7" s="236"/>
      <c r="J7" s="237"/>
    </row>
    <row r="8" spans="1:45">
      <c r="B8" s="233" t="s">
        <v>116</v>
      </c>
      <c r="C8" s="234"/>
      <c r="D8" s="235" t="str">
        <f>エンティティ一覧!AE2&amp;"_"&amp;D5&amp;"_kensa_scm4"</f>
        <v>sgioy_202310_work_kensa_scm4</v>
      </c>
      <c r="E8" s="236"/>
      <c r="F8" s="236"/>
      <c r="G8" s="236"/>
      <c r="H8" s="236"/>
      <c r="I8" s="236"/>
      <c r="J8" s="237"/>
    </row>
    <row r="9" spans="1:45" ht="19.5" customHeight="1" thickBot="1">
      <c r="B9" s="238" t="s">
        <v>117</v>
      </c>
      <c r="C9" s="239"/>
      <c r="D9" s="240" t="s">
        <v>4242</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milscm_2023_007.sgioy_202310_work_kensa_scm4;</v>
      </c>
      <c r="O10" s="74"/>
      <c r="P10" s="74"/>
      <c r="Q10" s="74"/>
      <c r="R10" s="74"/>
      <c r="S10" s="74"/>
      <c r="T10" s="74"/>
      <c r="AJ10" s="74" t="str">
        <f>"ALTER TABLE ONLY "&amp;エンティティ一覧!$O$2&amp;"."&amp;D$8</f>
        <v>ALTER TABLE ONLY milscm_2023_007.sgioy_202310_work_kensa_scm4</v>
      </c>
      <c r="AS10" s="74" t="str">
        <f>"ALTER TABLE "&amp;エンティティ一覧!$O$2&amp;"."&amp;D$8&amp;" OWNER TO pgmisgrp1;"</f>
        <v>ALTER TABLE milscm_2023_007.sgioy_202310_work_kensa_scm4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milscm_2023_007.sgioy_202310_work_kensa_scm4</v>
      </c>
      <c r="O11" s="74"/>
      <c r="P11" s="74"/>
      <c r="Q11" s="74"/>
      <c r="R11" s="74"/>
      <c r="S11" s="74"/>
      <c r="T11" s="74"/>
      <c r="AJ11" s="74" t="str">
        <f>"ADD CONSTRAINT "&amp;D$8&amp;"_pkey PRIMARY KEY"</f>
        <v>ADD CONSTRAINT sgioy_202310_work_kensa_scm4_pkey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milscm_2023_007.sgioy_202310_work_kensa_scm4 IS 'ワーク_検体検査データ_スキーマ4';</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1" si="0">UPPER(G13)</f>
        <v>TEXT</v>
      </c>
      <c r="R13" s="74" t="str">
        <f t="shared" ref="R13:R21"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milscm_2023_007.sgioy_202310_work_kensa_scm4.mask_id IS 'マスクID';</v>
      </c>
    </row>
    <row r="14" spans="1:45" s="25" customFormat="1">
      <c r="A14" s="4"/>
      <c r="B14" s="21">
        <f t="shared" ref="B14:B20" si="2">ROW()-12</f>
        <v>2</v>
      </c>
      <c r="C14" s="13" t="s">
        <v>1610</v>
      </c>
      <c r="D14" s="13" t="s">
        <v>1611</v>
      </c>
      <c r="E14" s="7" t="s">
        <v>127</v>
      </c>
      <c r="F14" s="7" t="s">
        <v>1741</v>
      </c>
      <c r="G14" s="7" t="str">
        <f t="shared" ref="G14:G21" si="3">IF(F14="フラグ","boolean",IF(F14="文字列","text",IF(F14="整数","integer",IF(F14="実数","numeric",""))))</f>
        <v>text</v>
      </c>
      <c r="H14" s="58"/>
      <c r="I14" s="23" t="s">
        <v>127</v>
      </c>
      <c r="J14" s="24"/>
      <c r="M14" s="4"/>
      <c r="N14" s="74"/>
      <c r="O14" s="74"/>
      <c r="P14" s="74" t="str">
        <f t="shared" ref="P14:P21" si="4">IF(B14&lt;&gt;1,","&amp;D14,D14)</f>
        <v>,specimen_name</v>
      </c>
      <c r="Q14" s="74" t="str">
        <f t="shared" si="0"/>
        <v>TEXT</v>
      </c>
      <c r="R14" s="74" t="str">
        <f t="shared" si="1"/>
        <v/>
      </c>
      <c r="S14" s="74" t="str">
        <f t="shared" ref="S14:S21" si="5">IF(I14="○","NOT NULL","")</f>
        <v>NOT NULL</v>
      </c>
      <c r="T14" s="74" t="str">
        <f t="shared" ref="T14:T21"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milscm_2023_007.sgioy_202310_work_kensa_scm4.specimen_name IS '検体材料';</v>
      </c>
    </row>
    <row r="15" spans="1:45" s="25" customFormat="1">
      <c r="A15" s="4"/>
      <c r="B15" s="21">
        <f t="shared" si="2"/>
        <v>3</v>
      </c>
      <c r="C15" s="13" t="s">
        <v>1612</v>
      </c>
      <c r="D15" s="13" t="s">
        <v>1613</v>
      </c>
      <c r="E15" s="7" t="s">
        <v>127</v>
      </c>
      <c r="F15" s="7" t="s">
        <v>1741</v>
      </c>
      <c r="G15" s="7" t="str">
        <f t="shared" si="3"/>
        <v>text</v>
      </c>
      <c r="H15" s="58"/>
      <c r="I15" s="23" t="s">
        <v>3837</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milscm_2023_007.sgioy_202310_work_kensa_scm4.sp_code IS '検体材料コード';</v>
      </c>
    </row>
    <row r="16" spans="1:45" s="25" customFormat="1">
      <c r="A16" s="4"/>
      <c r="B16" s="21">
        <f t="shared" si="2"/>
        <v>4</v>
      </c>
      <c r="C16" s="13" t="s">
        <v>1627</v>
      </c>
      <c r="D16" s="13" t="s">
        <v>1628</v>
      </c>
      <c r="E16" s="7" t="s">
        <v>127</v>
      </c>
      <c r="F16" s="7" t="s">
        <v>1741</v>
      </c>
      <c r="G16" s="7" t="str">
        <f t="shared" si="3"/>
        <v>text</v>
      </c>
      <c r="H16" s="58"/>
      <c r="I16" s="23" t="s">
        <v>3837</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milscm_2023_007.sgioy_202310_work_kensa_scm4.item_name IS '項目名';</v>
      </c>
    </row>
    <row r="17" spans="1:52" s="25" customFormat="1">
      <c r="A17" s="4"/>
      <c r="B17" s="21">
        <f t="shared" si="2"/>
        <v>5</v>
      </c>
      <c r="C17" s="13" t="s">
        <v>1629</v>
      </c>
      <c r="D17" s="13" t="s">
        <v>1630</v>
      </c>
      <c r="E17" s="7" t="s">
        <v>127</v>
      </c>
      <c r="F17" s="7" t="s">
        <v>1741</v>
      </c>
      <c r="G17" s="7" t="str">
        <f t="shared" si="3"/>
        <v>text</v>
      </c>
      <c r="H17" s="58"/>
      <c r="I17" s="23" t="s">
        <v>3837</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milscm_2023_007.sgioy_202310_work_kensa_scm4.facility_it_code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3837</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milscm_2023_007.sgioy_202310_work_kensa_scm4.unit IS '単位';</v>
      </c>
    </row>
    <row r="19" spans="1:52" s="25" customFormat="1">
      <c r="A19" s="4"/>
      <c r="B19" s="21">
        <f t="shared" si="2"/>
        <v>7</v>
      </c>
      <c r="C19" s="13" t="s">
        <v>1552</v>
      </c>
      <c r="D19" s="13" t="s">
        <v>1553</v>
      </c>
      <c r="E19" s="7" t="s">
        <v>127</v>
      </c>
      <c r="F19" s="7" t="s">
        <v>1741</v>
      </c>
      <c r="G19" s="7" t="str">
        <f t="shared" si="3"/>
        <v>text</v>
      </c>
      <c r="H19" s="58"/>
      <c r="I19" s="23" t="s">
        <v>3837</v>
      </c>
      <c r="J19" s="24"/>
      <c r="M19" s="4"/>
      <c r="N19" s="74"/>
      <c r="O19" s="74"/>
      <c r="P19" s="74" t="str">
        <f t="shared" si="4"/>
        <v>,sample_time</v>
      </c>
      <c r="Q19" s="74" t="str">
        <f t="shared" si="0"/>
        <v>TEXT</v>
      </c>
      <c r="R19" s="74" t="str">
        <f t="shared" si="1"/>
        <v/>
      </c>
      <c r="S19" s="74" t="str">
        <f t="shared" si="5"/>
        <v>NOT NULL</v>
      </c>
      <c r="T19" s="74" t="str">
        <f t="shared" si="6"/>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milscm_2023_007.sgioy_202310_work_kensa_scm4.sample_time IS '採取日時';</v>
      </c>
    </row>
    <row r="20" spans="1:52" s="25" customFormat="1">
      <c r="A20" s="4"/>
      <c r="B20" s="21">
        <f t="shared" si="2"/>
        <v>8</v>
      </c>
      <c r="C20" s="13" t="s">
        <v>1643</v>
      </c>
      <c r="D20" s="13" t="s">
        <v>1644</v>
      </c>
      <c r="E20" s="7" t="s">
        <v>127</v>
      </c>
      <c r="F20" s="7" t="s">
        <v>1741</v>
      </c>
      <c r="G20" s="7" t="str">
        <f t="shared" si="3"/>
        <v>text</v>
      </c>
      <c r="H20" s="58"/>
      <c r="I20" s="23"/>
      <c r="J20" s="24"/>
      <c r="M20" s="4"/>
      <c r="N20" s="74"/>
      <c r="O20" s="74"/>
      <c r="P20" s="74" t="str">
        <f t="shared" si="4"/>
        <v>,value</v>
      </c>
      <c r="Q20" s="74" t="str">
        <f t="shared" si="0"/>
        <v>TEXT</v>
      </c>
      <c r="R20" s="74" t="str">
        <f t="shared" si="1"/>
        <v/>
      </c>
      <c r="S20" s="74" t="str">
        <f t="shared" si="5"/>
        <v/>
      </c>
      <c r="T20" s="74" t="str">
        <f t="shared" si="6"/>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milscm_2023_007.sgioy_202310_work_kensa_scm4.value IS '検査結果値';</v>
      </c>
    </row>
    <row r="21" spans="1:52" s="25" customFormat="1" ht="18" thickBot="1">
      <c r="A21" s="4"/>
      <c r="B21" s="27">
        <f>ROW()-12</f>
        <v>9</v>
      </c>
      <c r="C21" s="57" t="s">
        <v>4243</v>
      </c>
      <c r="D21" s="57" t="s">
        <v>1646</v>
      </c>
      <c r="E21" s="56" t="s">
        <v>127</v>
      </c>
      <c r="F21" s="56" t="s">
        <v>1741</v>
      </c>
      <c r="G21" s="56" t="str">
        <f t="shared" si="3"/>
        <v>text</v>
      </c>
      <c r="H21" s="59"/>
      <c r="I21" s="60"/>
      <c r="J21" s="62"/>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milscm_2023_007.sgioy_202310_work_kensa_scm4.num_value IS '数値結果';</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ENT_41_17</v>
      </c>
      <c r="E6" s="244"/>
      <c r="F6" s="244"/>
      <c r="G6" s="244"/>
      <c r="H6" s="244"/>
      <c r="I6" s="244"/>
      <c r="J6" s="245"/>
    </row>
    <row r="7" spans="1:45">
      <c r="B7" s="233" t="s">
        <v>115</v>
      </c>
      <c r="C7" s="234"/>
      <c r="D7" s="235" t="s">
        <v>4246</v>
      </c>
      <c r="E7" s="236"/>
      <c r="F7" s="236"/>
      <c r="G7" s="236"/>
      <c r="H7" s="236"/>
      <c r="I7" s="236"/>
      <c r="J7" s="237"/>
    </row>
    <row r="8" spans="1:45">
      <c r="B8" s="233" t="s">
        <v>116</v>
      </c>
      <c r="C8" s="234"/>
      <c r="D8" s="235" t="str">
        <f>エンティティ一覧!AE2&amp;"_"&amp;D5&amp;"_kensa"</f>
        <v>sgioy_202310_work_kensa</v>
      </c>
      <c r="E8" s="236"/>
      <c r="F8" s="236"/>
      <c r="G8" s="236"/>
      <c r="H8" s="236"/>
      <c r="I8" s="236"/>
      <c r="J8" s="237"/>
    </row>
    <row r="9" spans="1:45" ht="19.5" customHeight="1" thickBot="1">
      <c r="B9" s="238" t="s">
        <v>117</v>
      </c>
      <c r="C9" s="239"/>
      <c r="D9" s="240" t="s">
        <v>4247</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milscm_2023_007.sgioy_202310_work_kensa;</v>
      </c>
      <c r="O10" s="74"/>
      <c r="P10" s="74"/>
      <c r="Q10" s="74"/>
      <c r="R10" s="74"/>
      <c r="S10" s="74"/>
      <c r="T10" s="74"/>
      <c r="AJ10" s="74" t="str">
        <f>"ALTER TABLE ONLY "&amp;エンティティ一覧!$O$2&amp;"."&amp;D$8</f>
        <v>ALTER TABLE ONLY milscm_2023_007.sgioy_202310_work_kensa</v>
      </c>
      <c r="AS10" s="74" t="str">
        <f>"ALTER TABLE "&amp;エンティティ一覧!$O$2&amp;"."&amp;D$8&amp;" OWNER TO pgmisgrp1;"</f>
        <v>ALTER TABLE milscm_2023_007.sgioy_202310_work_kensa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v>
      </c>
      <c r="O11" s="74"/>
      <c r="P11" s="74"/>
      <c r="Q11" s="74"/>
      <c r="R11" s="74"/>
      <c r="S11" s="74"/>
      <c r="T11" s="74"/>
      <c r="AJ11" s="74" t="str">
        <f>"ADD CONSTRAINT "&amp;D$8&amp;"_pkey PRIMARY KEY"</f>
        <v>ADD CONSTRAINT sgioy_202310_work_kensa_pkey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 IS 'ワーク_検体検査データ';</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1" si="0">UPPER(G13)</f>
        <v>TEXT</v>
      </c>
      <c r="R13" s="74" t="str">
        <f t="shared" ref="R13:R21"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milscm_2023_007.sgioy_202310_work_kensa.mask_id IS 'マスクID';</v>
      </c>
    </row>
    <row r="14" spans="1:45" s="25" customFormat="1">
      <c r="A14" s="4"/>
      <c r="B14" s="21">
        <f t="shared" ref="B14:B20" si="2">ROW()-12</f>
        <v>2</v>
      </c>
      <c r="C14" s="13" t="s">
        <v>1610</v>
      </c>
      <c r="D14" s="13" t="s">
        <v>1611</v>
      </c>
      <c r="E14" s="7" t="s">
        <v>127</v>
      </c>
      <c r="F14" s="7" t="s">
        <v>1741</v>
      </c>
      <c r="G14" s="7" t="str">
        <f t="shared" ref="G14:G21" si="3">IF(F14="フラグ","boolean",IF(F14="文字列","text",IF(F14="整数","integer",IF(F14="実数","numeric",""))))</f>
        <v>text</v>
      </c>
      <c r="H14" s="58"/>
      <c r="I14" s="23" t="s">
        <v>127</v>
      </c>
      <c r="J14" s="24"/>
      <c r="M14" s="4"/>
      <c r="N14" s="74"/>
      <c r="O14" s="74"/>
      <c r="P14" s="74" t="str">
        <f t="shared" ref="P14:P21" si="4">IF(B14&lt;&gt;1,","&amp;D14,D14)</f>
        <v>,specimen_name</v>
      </c>
      <c r="Q14" s="74" t="str">
        <f t="shared" si="0"/>
        <v>TEXT</v>
      </c>
      <c r="R14" s="74" t="str">
        <f t="shared" si="1"/>
        <v/>
      </c>
      <c r="S14" s="74" t="str">
        <f t="shared" ref="S14:S21" si="5">IF(I14="○","NOT NULL","")</f>
        <v>NOT NULL</v>
      </c>
      <c r="T14" s="74" t="str">
        <f t="shared" ref="T14:T21"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milscm_2023_007.sgioy_202310_work_kensa.specimen_name IS '検体材料';</v>
      </c>
    </row>
    <row r="15" spans="1:45" s="25" customFormat="1">
      <c r="A15" s="4"/>
      <c r="B15" s="21">
        <f t="shared" si="2"/>
        <v>3</v>
      </c>
      <c r="C15" s="13" t="s">
        <v>1612</v>
      </c>
      <c r="D15" s="13" t="s">
        <v>1613</v>
      </c>
      <c r="E15" s="7" t="s">
        <v>127</v>
      </c>
      <c r="F15" s="7" t="s">
        <v>1741</v>
      </c>
      <c r="G15" s="7" t="str">
        <f t="shared" si="3"/>
        <v>text</v>
      </c>
      <c r="H15" s="58"/>
      <c r="I15" s="23" t="s">
        <v>3837</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milscm_2023_007.sgioy_202310_work_kensa.sp_code IS '検体材料コード';</v>
      </c>
    </row>
    <row r="16" spans="1:45" s="25" customFormat="1">
      <c r="A16" s="4"/>
      <c r="B16" s="21">
        <f t="shared" si="2"/>
        <v>4</v>
      </c>
      <c r="C16" s="13" t="s">
        <v>1627</v>
      </c>
      <c r="D16" s="13" t="s">
        <v>1628</v>
      </c>
      <c r="E16" s="7" t="s">
        <v>127</v>
      </c>
      <c r="F16" s="7" t="s">
        <v>1741</v>
      </c>
      <c r="G16" s="7" t="str">
        <f t="shared" si="3"/>
        <v>text</v>
      </c>
      <c r="H16" s="58"/>
      <c r="I16" s="23" t="s">
        <v>3837</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milscm_2023_007.sgioy_202310_work_kensa.item_name IS '項目名';</v>
      </c>
    </row>
    <row r="17" spans="1:52" s="25" customFormat="1">
      <c r="A17" s="4"/>
      <c r="B17" s="21">
        <f t="shared" si="2"/>
        <v>5</v>
      </c>
      <c r="C17" s="13" t="s">
        <v>1629</v>
      </c>
      <c r="D17" s="13" t="s">
        <v>1630</v>
      </c>
      <c r="E17" s="7" t="s">
        <v>127</v>
      </c>
      <c r="F17" s="7" t="s">
        <v>1741</v>
      </c>
      <c r="G17" s="7" t="str">
        <f t="shared" si="3"/>
        <v>text</v>
      </c>
      <c r="H17" s="58"/>
      <c r="I17" s="23" t="s">
        <v>3837</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3837</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milscm_2023_007.sgioy_202310_work_kensa.unit IS '単位';</v>
      </c>
    </row>
    <row r="19" spans="1:52" s="25" customFormat="1">
      <c r="A19" s="4"/>
      <c r="B19" s="21">
        <f t="shared" si="2"/>
        <v>7</v>
      </c>
      <c r="C19" s="13" t="s">
        <v>1552</v>
      </c>
      <c r="D19" s="13" t="s">
        <v>1553</v>
      </c>
      <c r="E19" s="7" t="s">
        <v>127</v>
      </c>
      <c r="F19" s="7" t="s">
        <v>4245</v>
      </c>
      <c r="G19" s="7" t="s">
        <v>99</v>
      </c>
      <c r="H19" s="58"/>
      <c r="I19" s="23" t="s">
        <v>3837</v>
      </c>
      <c r="J19" s="24"/>
      <c r="M19" s="4"/>
      <c r="N19" s="74"/>
      <c r="O19" s="74"/>
      <c r="P19" s="74" t="str">
        <f t="shared" si="4"/>
        <v>,sample_time</v>
      </c>
      <c r="Q19" s="74" t="str">
        <f t="shared" si="0"/>
        <v>DATE</v>
      </c>
      <c r="R19" s="74" t="str">
        <f t="shared" si="1"/>
        <v/>
      </c>
      <c r="S19" s="74" t="str">
        <f t="shared" si="5"/>
        <v>NOT NULL</v>
      </c>
      <c r="T19" s="74" t="str">
        <f t="shared" si="6"/>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milscm_2023_007.sgioy_202310_work_kensa.sample_time IS '採取日時';</v>
      </c>
    </row>
    <row r="20" spans="1:52" s="25" customFormat="1">
      <c r="A20" s="4"/>
      <c r="B20" s="21">
        <f t="shared" si="2"/>
        <v>8</v>
      </c>
      <c r="C20" s="13" t="s">
        <v>1643</v>
      </c>
      <c r="D20" s="13" t="s">
        <v>1644</v>
      </c>
      <c r="E20" s="7" t="s">
        <v>127</v>
      </c>
      <c r="F20" s="7" t="s">
        <v>1741</v>
      </c>
      <c r="G20" s="7" t="str">
        <f t="shared" si="3"/>
        <v>text</v>
      </c>
      <c r="H20" s="58"/>
      <c r="I20" s="23"/>
      <c r="J20" s="24"/>
      <c r="M20" s="4"/>
      <c r="N20" s="74"/>
      <c r="O20" s="74"/>
      <c r="P20" s="74" t="str">
        <f t="shared" si="4"/>
        <v>,value</v>
      </c>
      <c r="Q20" s="74" t="str">
        <f t="shared" si="0"/>
        <v>TEXT</v>
      </c>
      <c r="R20" s="74" t="str">
        <f t="shared" si="1"/>
        <v/>
      </c>
      <c r="S20" s="74" t="str">
        <f t="shared" si="5"/>
        <v/>
      </c>
      <c r="T20" s="74" t="str">
        <f t="shared" si="6"/>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milscm_2023_007.sgioy_202310_work_kensa.value IS '検査結果値';</v>
      </c>
    </row>
    <row r="21" spans="1:52" s="25" customFormat="1" ht="18" thickBot="1">
      <c r="A21" s="4"/>
      <c r="B21" s="27">
        <f>ROW()-12</f>
        <v>9</v>
      </c>
      <c r="C21" s="57" t="s">
        <v>4243</v>
      </c>
      <c r="D21" s="57" t="s">
        <v>1646</v>
      </c>
      <c r="E21" s="56" t="s">
        <v>127</v>
      </c>
      <c r="F21" s="56" t="s">
        <v>1741</v>
      </c>
      <c r="G21" s="56" t="str">
        <f t="shared" si="3"/>
        <v>text</v>
      </c>
      <c r="H21" s="59"/>
      <c r="I21" s="60"/>
      <c r="J21" s="62"/>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milscm_2023_007.sgioy_202310_work_kensa.num_value IS '数値結果';</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topLeftCell="A17" zoomScale="85" zoomScaleNormal="85" workbookViewId="0">
      <selection activeCell="D15" sqref="D15:D2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ENT_41_18</v>
      </c>
      <c r="E6" s="244"/>
      <c r="F6" s="244"/>
      <c r="G6" s="244"/>
      <c r="H6" s="244"/>
      <c r="I6" s="244"/>
      <c r="J6" s="245"/>
    </row>
    <row r="7" spans="1:45">
      <c r="B7" s="233" t="s">
        <v>115</v>
      </c>
      <c r="C7" s="234"/>
      <c r="D7" s="235" t="s">
        <v>4273</v>
      </c>
      <c r="E7" s="236"/>
      <c r="F7" s="236"/>
      <c r="G7" s="236"/>
      <c r="H7" s="236"/>
      <c r="I7" s="236"/>
      <c r="J7" s="237"/>
    </row>
    <row r="8" spans="1:45">
      <c r="B8" s="233" t="s">
        <v>116</v>
      </c>
      <c r="C8" s="234"/>
      <c r="D8" s="235" t="str">
        <f>エンティティ一覧!AE2&amp;"_"&amp;D5&amp;"_text_temp"</f>
        <v>sgioy_202310_work_text_temp</v>
      </c>
      <c r="E8" s="236"/>
      <c r="F8" s="236"/>
      <c r="G8" s="236"/>
      <c r="H8" s="236"/>
      <c r="I8" s="236"/>
      <c r="J8" s="237"/>
    </row>
    <row r="9" spans="1:45" ht="19.5" customHeight="1" thickBot="1">
      <c r="B9" s="238" t="s">
        <v>117</v>
      </c>
      <c r="C9" s="239"/>
      <c r="D9" s="240" t="s">
        <v>4247</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milscm_2023_007.sgioy_202310_work_text_temp;</v>
      </c>
      <c r="O10" s="74"/>
      <c r="P10" s="74"/>
      <c r="Q10" s="74"/>
      <c r="R10" s="74"/>
      <c r="S10" s="74"/>
      <c r="T10" s="74"/>
      <c r="AJ10" s="74" t="str">
        <f>"ALTER TABLE ONLY "&amp;エンティティ一覧!$O$2&amp;"."&amp;D$8</f>
        <v>ALTER TABLE ONLY milscm_2023_007.sgioy_202310_work_text_temp</v>
      </c>
      <c r="AS10" s="74" t="str">
        <f>"ALTER TABLE "&amp;エンティティ一覧!$O$2&amp;"."&amp;D$8&amp;" OWNER TO pgmisgrp1;"</f>
        <v>ALTER TABLE milscm_2023_007.sgioy_202310_work_text_temp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milscm_2023_007.sgioy_202310_work_text_temp</v>
      </c>
      <c r="O11" s="74"/>
      <c r="P11" s="74"/>
      <c r="Q11" s="74"/>
      <c r="R11" s="74"/>
      <c r="S11" s="74"/>
      <c r="T11" s="74"/>
      <c r="AJ11" s="74" t="str">
        <f>"ADD CONSTRAINT "&amp;D$8&amp;"_pkey PRIMARY KEY"</f>
        <v>ADD CONSTRAINT sgioy_202310_work_text_temp_pkey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milscm_2023_007.sgioy_202310_work_text_temp IS 'ワーク_テキスト情報_一時';</v>
      </c>
    </row>
    <row r="13" spans="1:45" s="25" customFormat="1">
      <c r="A13" s="4"/>
      <c r="B13" s="21">
        <f>ROW()-12</f>
        <v>1</v>
      </c>
      <c r="C13" s="6" t="s">
        <v>137</v>
      </c>
      <c r="D13" s="6" t="s">
        <v>128</v>
      </c>
      <c r="E13" s="8" t="s">
        <v>127</v>
      </c>
      <c r="F13" s="8" t="s">
        <v>4248</v>
      </c>
      <c r="G13" s="7" t="str">
        <f>IF(F13="フラグ","boolean",IF(F13="文字列","text",IF(F13="整数","integer",IF(F13="実数","numeric",""))))</f>
        <v>text</v>
      </c>
      <c r="H13" s="9"/>
      <c r="I13" s="10" t="s">
        <v>127</v>
      </c>
      <c r="J13" s="11"/>
      <c r="M13" s="4"/>
      <c r="N13" s="74"/>
      <c r="O13" s="74"/>
      <c r="P13" s="74" t="str">
        <f>IF(B13&lt;&gt;1,","&amp;D13,D13)</f>
        <v>facility_id</v>
      </c>
      <c r="Q13" s="74" t="str">
        <f t="shared" ref="Q13:Q28" si="0">UPPER(G13)</f>
        <v>TEXT</v>
      </c>
      <c r="R13" s="74" t="str">
        <f t="shared" ref="R13:R2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milscm_2023_007.sgioy_202310_work_text_temp.facility_id IS '施設ID';</v>
      </c>
    </row>
    <row r="14" spans="1:45" s="25" customFormat="1">
      <c r="A14" s="4"/>
      <c r="B14" s="21">
        <f t="shared" ref="B14:B27" si="2">ROW()-12</f>
        <v>2</v>
      </c>
      <c r="C14" s="13" t="s">
        <v>4249</v>
      </c>
      <c r="D14" s="13" t="s">
        <v>1250</v>
      </c>
      <c r="E14" s="7" t="s">
        <v>127</v>
      </c>
      <c r="F14" s="7" t="s">
        <v>1825</v>
      </c>
      <c r="G14" s="7" t="str">
        <f t="shared" ref="G14:G28" si="3">IF(F14="フラグ","boolean",IF(F14="文字列","text",IF(F14="整数","integer",IF(F14="実数","numeric",""))))</f>
        <v>text</v>
      </c>
      <c r="H14" s="58"/>
      <c r="I14" s="23" t="s">
        <v>127</v>
      </c>
      <c r="J14" s="24"/>
      <c r="M14" s="4"/>
      <c r="N14" s="74"/>
      <c r="O14" s="74"/>
      <c r="P14" s="74" t="str">
        <f t="shared" ref="P14:P28" si="4">IF(B14&lt;&gt;1,","&amp;D14,D14)</f>
        <v>,master_id</v>
      </c>
      <c r="Q14" s="74" t="str">
        <f t="shared" si="0"/>
        <v>TEXT</v>
      </c>
      <c r="R14" s="74" t="str">
        <f t="shared" si="1"/>
        <v/>
      </c>
      <c r="S14" s="74" t="str">
        <f t="shared" ref="S14:S28" si="5">IF(I14="○","NOT NULL","")</f>
        <v>NOT NULL</v>
      </c>
      <c r="T14" s="74" t="str">
        <f t="shared" ref="T14:T28" si="6">"--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milscm_2023_007.sgioy_202310_work_text_temp.master_id IS '患者ID';</v>
      </c>
    </row>
    <row r="15" spans="1:45" s="25" customFormat="1">
      <c r="A15" s="4"/>
      <c r="B15" s="21">
        <f t="shared" si="2"/>
        <v>3</v>
      </c>
      <c r="C15" s="13" t="s">
        <v>1251</v>
      </c>
      <c r="D15" s="13" t="s">
        <v>1252</v>
      </c>
      <c r="E15" s="7" t="s">
        <v>127</v>
      </c>
      <c r="F15" s="7" t="s">
        <v>862</v>
      </c>
      <c r="G15" s="7" t="str">
        <f t="shared" si="3"/>
        <v>text</v>
      </c>
      <c r="H15" s="58"/>
      <c r="I15" s="23" t="s">
        <v>127</v>
      </c>
      <c r="J15" s="24"/>
      <c r="M15" s="4"/>
      <c r="N15" s="74"/>
      <c r="O15" s="74"/>
      <c r="P15" s="74" t="str">
        <f t="shared" si="4"/>
        <v>,uid</v>
      </c>
      <c r="Q15" s="74" t="str">
        <f t="shared" si="0"/>
        <v>TEXT</v>
      </c>
      <c r="R15" s="74" t="str">
        <f t="shared" si="1"/>
        <v/>
      </c>
      <c r="S15" s="74" t="str">
        <f t="shared" si="5"/>
        <v>NOT NULL</v>
      </c>
      <c r="T15" s="74" t="str">
        <f t="shared" si="6"/>
        <v>-- 文書ユニークID</v>
      </c>
      <c r="U15" s="4"/>
      <c r="AA15" s="4"/>
      <c r="AB15" s="4"/>
      <c r="AC15" s="4"/>
      <c r="AD15" s="4"/>
      <c r="AE15" s="4"/>
      <c r="AF15" s="4"/>
      <c r="AG15" s="4"/>
      <c r="AH15" s="4"/>
      <c r="AI15" s="4"/>
      <c r="AJ15" s="74" t="str">
        <f>IF(E15="○",IF(COUNTA(E$13:E15)=1,"",",")&amp;D15,"")</f>
        <v>,uid</v>
      </c>
      <c r="AK15" s="4"/>
      <c r="AL15" s="4"/>
      <c r="AM15" s="4"/>
      <c r="AN15" s="4"/>
      <c r="AO15" s="4"/>
      <c r="AP15" s="4"/>
      <c r="AQ15" s="4"/>
      <c r="AR15" s="4"/>
      <c r="AS15" s="74" t="str">
        <f>"COMMENT ON COLUMN "&amp;エンティティ一覧!$O$2&amp;"."&amp;D$8&amp;"."&amp;D15&amp;" IS '"&amp;C15&amp;"';"</f>
        <v>COMMENT ON COLUMN milscm_2023_007.sgioy_202310_work_text_temp.uid IS '文書ユニークID';</v>
      </c>
    </row>
    <row r="16" spans="1:45" s="25" customFormat="1" ht="52.2">
      <c r="A16" s="4"/>
      <c r="B16" s="21">
        <f t="shared" si="2"/>
        <v>4</v>
      </c>
      <c r="C16" s="13" t="s">
        <v>4250</v>
      </c>
      <c r="D16" s="13" t="s">
        <v>4251</v>
      </c>
      <c r="E16" s="7" t="s">
        <v>127</v>
      </c>
      <c r="F16" s="7" t="s">
        <v>203</v>
      </c>
      <c r="G16" s="7" t="str">
        <f t="shared" si="3"/>
        <v>integer</v>
      </c>
      <c r="H16" s="58"/>
      <c r="I16" s="23" t="s">
        <v>127</v>
      </c>
      <c r="J16" s="24" t="s">
        <v>4264</v>
      </c>
      <c r="M16" s="4"/>
      <c r="N16" s="74"/>
      <c r="O16" s="74"/>
      <c r="P16" s="74" t="str">
        <f t="shared" si="4"/>
        <v>,module_seq</v>
      </c>
      <c r="Q16" s="74" t="str">
        <f t="shared" si="0"/>
        <v>INTEGER</v>
      </c>
      <c r="R16" s="74" t="str">
        <f t="shared" si="1"/>
        <v/>
      </c>
      <c r="S16" s="74" t="str">
        <f t="shared" si="5"/>
        <v>NOT NULL</v>
      </c>
      <c r="T16" s="74" t="str">
        <f t="shared" si="6"/>
        <v>-- モジュールSEQ</v>
      </c>
      <c r="U16" s="4"/>
      <c r="AA16" s="4"/>
      <c r="AB16" s="4"/>
      <c r="AC16" s="4"/>
      <c r="AD16" s="4"/>
      <c r="AE16" s="4"/>
      <c r="AF16" s="4"/>
      <c r="AG16" s="4"/>
      <c r="AH16" s="4"/>
      <c r="AI16" s="4"/>
      <c r="AJ16" s="74" t="str">
        <f>IF(E16="○",IF(COUNTA(E$13:E16)=1,"",",")&amp;D16,"")</f>
        <v>,module_seq</v>
      </c>
      <c r="AK16" s="4"/>
      <c r="AL16" s="4"/>
      <c r="AM16" s="4"/>
      <c r="AN16" s="4"/>
      <c r="AO16" s="4"/>
      <c r="AP16" s="4"/>
      <c r="AQ16" s="4"/>
      <c r="AR16" s="4"/>
      <c r="AS16" s="74" t="str">
        <f>"COMMENT ON COLUMN "&amp;エンティティ一覧!$O$2&amp;"."&amp;D$8&amp;"."&amp;D16&amp;" IS '"&amp;C16&amp;"';"</f>
        <v>COMMENT ON COLUMN milscm_2023_007.sgioy_202310_work_text_temp.module_seq IS 'モジュールSEQ';</v>
      </c>
    </row>
    <row r="17" spans="1:52" s="25" customFormat="1">
      <c r="A17" s="4"/>
      <c r="B17" s="21">
        <f t="shared" si="2"/>
        <v>5</v>
      </c>
      <c r="C17" s="13" t="s">
        <v>1356</v>
      </c>
      <c r="D17" s="13" t="s">
        <v>1357</v>
      </c>
      <c r="E17" s="7" t="s">
        <v>127</v>
      </c>
      <c r="F17" s="7" t="s">
        <v>203</v>
      </c>
      <c r="G17" s="7" t="str">
        <f t="shared" si="3"/>
        <v>integer</v>
      </c>
      <c r="H17" s="58"/>
      <c r="I17" s="23" t="s">
        <v>127</v>
      </c>
      <c r="J17" s="24" t="s">
        <v>1380</v>
      </c>
      <c r="M17" s="4"/>
      <c r="N17" s="74"/>
      <c r="O17" s="74"/>
      <c r="P17" s="74" t="str">
        <f t="shared" si="4"/>
        <v>,problem_seq</v>
      </c>
      <c r="Q17" s="74" t="str">
        <f t="shared" si="0"/>
        <v>INTEGER</v>
      </c>
      <c r="R17" s="74" t="str">
        <f t="shared" si="1"/>
        <v/>
      </c>
      <c r="S17" s="74" t="str">
        <f t="shared" si="5"/>
        <v>NOT NULL</v>
      </c>
      <c r="T17" s="74" t="str">
        <f t="shared" si="6"/>
        <v>-- プロブレムSEQ</v>
      </c>
      <c r="U17" s="4"/>
      <c r="AA17" s="4"/>
      <c r="AB17" s="4"/>
      <c r="AC17" s="4"/>
      <c r="AD17" s="4"/>
      <c r="AE17" s="4"/>
      <c r="AF17" s="4"/>
      <c r="AG17" s="4"/>
      <c r="AH17" s="4"/>
      <c r="AI17" s="4"/>
      <c r="AJ17" s="74" t="str">
        <f>IF(E17="○",IF(COUNTA(E$13:E17)=1,"",",")&amp;D17,"")</f>
        <v>,problem_seq</v>
      </c>
      <c r="AK17" s="4"/>
      <c r="AL17" s="4"/>
      <c r="AM17" s="4"/>
      <c r="AN17" s="4"/>
      <c r="AO17" s="4"/>
      <c r="AP17" s="4"/>
      <c r="AQ17" s="4"/>
      <c r="AR17" s="4"/>
      <c r="AS17" s="74" t="str">
        <f>"COMMENT ON COLUMN "&amp;エンティティ一覧!$O$2&amp;"."&amp;D$8&amp;"."&amp;D17&amp;" IS '"&amp;C17&amp;"';"</f>
        <v>COMMENT ON COLUMN milscm_2023_007.sgioy_202310_work_text_temp.problem_seq IS 'プロブレムSEQ';</v>
      </c>
    </row>
    <row r="18" spans="1:52" s="25" customFormat="1">
      <c r="A18" s="4"/>
      <c r="B18" s="21">
        <f t="shared" si="2"/>
        <v>6</v>
      </c>
      <c r="C18" s="13" t="s">
        <v>1408</v>
      </c>
      <c r="D18" s="13" t="s">
        <v>1409</v>
      </c>
      <c r="E18" s="7" t="s">
        <v>127</v>
      </c>
      <c r="F18" s="7" t="s">
        <v>203</v>
      </c>
      <c r="G18" s="7" t="str">
        <f t="shared" si="3"/>
        <v>integer</v>
      </c>
      <c r="H18" s="58"/>
      <c r="I18" s="23" t="s">
        <v>127</v>
      </c>
      <c r="J18" s="24" t="s">
        <v>1412</v>
      </c>
      <c r="M18" s="4"/>
      <c r="N18" s="74"/>
      <c r="O18" s="74"/>
      <c r="P18" s="74" t="str">
        <f t="shared" si="4"/>
        <v>,assessment_item_seq</v>
      </c>
      <c r="Q18" s="74" t="str">
        <f t="shared" si="0"/>
        <v>INTEGER</v>
      </c>
      <c r="R18" s="74" t="str">
        <f t="shared" si="1"/>
        <v/>
      </c>
      <c r="S18" s="74" t="str">
        <f t="shared" si="5"/>
        <v>NOT NULL</v>
      </c>
      <c r="T18" s="74" t="str">
        <f t="shared" si="6"/>
        <v>-- アセスメントSEQ</v>
      </c>
      <c r="U18" s="4"/>
      <c r="AA18" s="4"/>
      <c r="AB18" s="4"/>
      <c r="AC18" s="4"/>
      <c r="AD18" s="4"/>
      <c r="AE18" s="4"/>
      <c r="AF18" s="4"/>
      <c r="AG18" s="4"/>
      <c r="AH18" s="4"/>
      <c r="AI18" s="4"/>
      <c r="AJ18" s="74" t="str">
        <f>IF(E18="○",IF(COUNTA(E$13:E18)=1,"",",")&amp;D18,"")</f>
        <v>,assessment_item_seq</v>
      </c>
      <c r="AK18" s="4"/>
      <c r="AL18" s="4"/>
      <c r="AM18" s="4"/>
      <c r="AN18" s="4"/>
      <c r="AO18" s="4"/>
      <c r="AP18" s="4"/>
      <c r="AQ18" s="4"/>
      <c r="AR18" s="4"/>
      <c r="AS18" s="74" t="str">
        <f>"COMMENT ON COLUMN "&amp;エンティティ一覧!$O$2&amp;"."&amp;D$8&amp;"."&amp;D18&amp;" IS '"&amp;C18&amp;"';"</f>
        <v>COMMENT ON COLUMN milscm_2023_007.sgioy_202310_work_text_temp.assessment_item_seq IS 'アセスメントSEQ';</v>
      </c>
    </row>
    <row r="19" spans="1:52" s="25" customFormat="1">
      <c r="A19" s="4"/>
      <c r="B19" s="21">
        <f t="shared" si="2"/>
        <v>7</v>
      </c>
      <c r="C19" s="13" t="s">
        <v>1418</v>
      </c>
      <c r="D19" s="13" t="s">
        <v>1419</v>
      </c>
      <c r="E19" s="7" t="s">
        <v>127</v>
      </c>
      <c r="F19" s="7" t="s">
        <v>203</v>
      </c>
      <c r="G19" s="7" t="str">
        <f t="shared" si="3"/>
        <v>integer</v>
      </c>
      <c r="H19" s="58"/>
      <c r="I19" s="23" t="s">
        <v>127</v>
      </c>
      <c r="J19" s="24" t="s">
        <v>1431</v>
      </c>
      <c r="M19" s="4"/>
      <c r="N19" s="74"/>
      <c r="O19" s="74"/>
      <c r="P19" s="74" t="str">
        <f t="shared" ref="P19" si="7">IF(B19&lt;&gt;1,","&amp;D19,D19)</f>
        <v>,gaibu_sansyo_seq</v>
      </c>
      <c r="Q19" s="74" t="str">
        <f t="shared" ref="Q19" si="8">UPPER(G19)</f>
        <v>INTEGER</v>
      </c>
      <c r="R19" s="74" t="str">
        <f t="shared" ref="R19" si="9">IF(H19&lt;&gt;"","default "&amp;IF(G19="text","'"&amp;H19&amp;"'",H19),"")</f>
        <v/>
      </c>
      <c r="S19" s="74" t="str">
        <f t="shared" ref="S19" si="10">IF(I19="○","NOT NULL","")</f>
        <v>NOT NULL</v>
      </c>
      <c r="T19" s="74" t="str">
        <f t="shared" ref="T19" si="11">"-- "&amp;C19</f>
        <v>-- 外部参照SEQ</v>
      </c>
      <c r="U19" s="4"/>
      <c r="AA19" s="4"/>
      <c r="AB19" s="4"/>
      <c r="AC19" s="4"/>
      <c r="AD19" s="4"/>
      <c r="AE19" s="4"/>
      <c r="AF19" s="4"/>
      <c r="AG19" s="4"/>
      <c r="AH19" s="4"/>
      <c r="AI19" s="4"/>
      <c r="AJ19" s="74" t="str">
        <f>IF(E19="○",IF(COUNTA(E$13:E19)=1,"",",")&amp;D19,"")</f>
        <v>,gaibu_sansyo_seq</v>
      </c>
      <c r="AK19" s="4"/>
      <c r="AL19" s="4"/>
      <c r="AM19" s="4"/>
      <c r="AN19" s="4"/>
      <c r="AO19" s="4"/>
      <c r="AP19" s="4"/>
      <c r="AQ19" s="4"/>
      <c r="AR19" s="4"/>
      <c r="AS19" s="74" t="str">
        <f>"COMMENT ON COLUMN "&amp;エンティティ一覧!$O$2&amp;"."&amp;D$8&amp;"."&amp;D19&amp;" IS '"&amp;C19&amp;"';"</f>
        <v>COMMENT ON COLUMN milscm_2023_007.sgioy_202310_work_text_temp.gaibu_sansyo_seq IS '外部参照SEQ';</v>
      </c>
    </row>
    <row r="20" spans="1:52" s="25" customFormat="1">
      <c r="A20" s="4"/>
      <c r="B20" s="21">
        <f t="shared" si="2"/>
        <v>8</v>
      </c>
      <c r="C20" s="13" t="s">
        <v>1348</v>
      </c>
      <c r="D20" s="13" t="s">
        <v>1349</v>
      </c>
      <c r="E20" s="7" t="s">
        <v>127</v>
      </c>
      <c r="F20" s="7" t="s">
        <v>203</v>
      </c>
      <c r="G20" s="7" t="str">
        <f t="shared" si="3"/>
        <v>integer</v>
      </c>
      <c r="H20" s="58"/>
      <c r="I20" s="23" t="s">
        <v>127</v>
      </c>
      <c r="J20" s="24" t="s">
        <v>1532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milscm_2023_007.sgioy_202310_work_text_temp.keika_seq IS '経過記録SEQ';</v>
      </c>
    </row>
    <row r="21" spans="1:52" s="25" customFormat="1">
      <c r="A21" s="4"/>
      <c r="B21" s="21">
        <f t="shared" si="2"/>
        <v>9</v>
      </c>
      <c r="C21" s="13" t="s">
        <v>4252</v>
      </c>
      <c r="D21" s="13" t="s">
        <v>4253</v>
      </c>
      <c r="E21" s="7"/>
      <c r="F21" s="7" t="s">
        <v>1784</v>
      </c>
      <c r="G21" s="7" t="str">
        <f t="shared" si="3"/>
        <v>text</v>
      </c>
      <c r="H21" s="58"/>
      <c r="I21" s="23" t="s">
        <v>127</v>
      </c>
      <c r="J21" s="24" t="s">
        <v>4265</v>
      </c>
      <c r="M21" s="4"/>
      <c r="N21" s="74"/>
      <c r="O21" s="74"/>
      <c r="P21" s="74" t="str">
        <f t="shared" si="4"/>
        <v>,source_module</v>
      </c>
      <c r="Q21" s="74" t="str">
        <f t="shared" si="0"/>
        <v>TEXT</v>
      </c>
      <c r="R21" s="74" t="str">
        <f t="shared" si="1"/>
        <v/>
      </c>
      <c r="S21" s="74" t="str">
        <f t="shared" si="5"/>
        <v>NOT NULL</v>
      </c>
      <c r="T21" s="74" t="str">
        <f t="shared" si="6"/>
        <v>-- モジュール名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milscm_2023_007.sgioy_202310_work_text_temp.source_module IS 'モジュール名';</v>
      </c>
    </row>
    <row r="22" spans="1:52" s="25" customFormat="1" ht="87">
      <c r="A22" s="4"/>
      <c r="B22" s="21">
        <f t="shared" si="2"/>
        <v>10</v>
      </c>
      <c r="C22" s="13" t="s">
        <v>4254</v>
      </c>
      <c r="D22" s="13" t="s">
        <v>4255</v>
      </c>
      <c r="E22" s="7"/>
      <c r="F22" s="7" t="s">
        <v>1784</v>
      </c>
      <c r="G22" s="7" t="str">
        <f t="shared" si="3"/>
        <v>text</v>
      </c>
      <c r="H22" s="58"/>
      <c r="I22" s="23" t="s">
        <v>127</v>
      </c>
      <c r="J22" s="24" t="s">
        <v>4282</v>
      </c>
      <c r="M22" s="4"/>
      <c r="N22" s="74"/>
      <c r="O22" s="74"/>
      <c r="P22" s="74" t="str">
        <f t="shared" si="4"/>
        <v>,source_table</v>
      </c>
      <c r="Q22" s="74" t="str">
        <f t="shared" si="0"/>
        <v>TEXT</v>
      </c>
      <c r="R22" s="74" t="str">
        <f t="shared" si="1"/>
        <v/>
      </c>
      <c r="S22" s="74" t="str">
        <f t="shared" si="5"/>
        <v>NOT NULL</v>
      </c>
      <c r="T22" s="74" t="str">
        <f t="shared" si="6"/>
        <v>-- 取得元テーブル名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milscm_2023_007.sgioy_202310_work_text_temp.source_table IS '取得元テーブル名';</v>
      </c>
    </row>
    <row r="23" spans="1:52" s="25" customFormat="1" ht="156.6">
      <c r="A23" s="4"/>
      <c r="B23" s="21">
        <f t="shared" si="2"/>
        <v>11</v>
      </c>
      <c r="C23" s="13" t="s">
        <v>4256</v>
      </c>
      <c r="D23" s="13" t="s">
        <v>4257</v>
      </c>
      <c r="E23" s="7" t="s">
        <v>127</v>
      </c>
      <c r="F23" s="7" t="s">
        <v>1784</v>
      </c>
      <c r="G23" s="7" t="str">
        <f t="shared" si="3"/>
        <v>text</v>
      </c>
      <c r="H23" s="58"/>
      <c r="I23" s="23" t="s">
        <v>127</v>
      </c>
      <c r="J23" s="24" t="s">
        <v>4267</v>
      </c>
      <c r="M23" s="4"/>
      <c r="N23" s="74"/>
      <c r="O23" s="74"/>
      <c r="P23" s="74" t="str">
        <f t="shared" si="4"/>
        <v>,source_column</v>
      </c>
      <c r="Q23" s="74" t="str">
        <f t="shared" si="0"/>
        <v>TEXT</v>
      </c>
      <c r="R23" s="74" t="str">
        <f t="shared" si="1"/>
        <v/>
      </c>
      <c r="S23" s="74" t="str">
        <f t="shared" si="5"/>
        <v>NOT NULL</v>
      </c>
      <c r="T23" s="74" t="str">
        <f t="shared" si="6"/>
        <v>-- 取得元カラム名</v>
      </c>
      <c r="U23" s="4"/>
      <c r="AA23" s="4"/>
      <c r="AB23" s="4"/>
      <c r="AC23" s="4"/>
      <c r="AD23" s="4"/>
      <c r="AE23" s="4"/>
      <c r="AF23" s="4"/>
      <c r="AG23" s="4"/>
      <c r="AH23" s="4"/>
      <c r="AI23" s="4"/>
      <c r="AJ23" s="74" t="str">
        <f>IF(E23="○",IF(COUNTA(E$13:E23)=1,"",",")&amp;D23,"")</f>
        <v>,source_column</v>
      </c>
      <c r="AK23" s="4"/>
      <c r="AL23" s="4"/>
      <c r="AM23" s="4"/>
      <c r="AN23" s="4"/>
      <c r="AO23" s="4"/>
      <c r="AP23" s="4"/>
      <c r="AQ23" s="4"/>
      <c r="AR23" s="4"/>
      <c r="AS23" s="74" t="str">
        <f>"COMMENT ON COLUMN "&amp;エンティティ一覧!$O$2&amp;"."&amp;D$8&amp;"."&amp;D23&amp;" IS '"&amp;C23&amp;"';"</f>
        <v>COMMENT ON COLUMN milscm_2023_007.sgioy_202310_work_text_temp.source_column IS '取得元カラム名';</v>
      </c>
    </row>
    <row r="24" spans="1:52" s="25" customFormat="1">
      <c r="A24" s="4"/>
      <c r="B24" s="21">
        <f t="shared" si="2"/>
        <v>12</v>
      </c>
      <c r="C24" s="13" t="s">
        <v>4258</v>
      </c>
      <c r="D24" s="13" t="s">
        <v>3269</v>
      </c>
      <c r="E24" s="7"/>
      <c r="F24" s="7" t="s">
        <v>1784</v>
      </c>
      <c r="G24" s="7" t="str">
        <f t="shared" si="3"/>
        <v>text</v>
      </c>
      <c r="H24" s="58"/>
      <c r="I24" s="23" t="s">
        <v>127</v>
      </c>
      <c r="J24" s="24"/>
      <c r="M24" s="4"/>
      <c r="N24" s="74"/>
      <c r="O24" s="74"/>
      <c r="P24" s="74" t="str">
        <f t="shared" ref="P24:P27" si="12">IF(B24&lt;&gt;1,","&amp;D24,D24)</f>
        <v>,comfirm_date</v>
      </c>
      <c r="Q24" s="74" t="str">
        <f t="shared" ref="Q24:Q27" si="13">UPPER(G24)</f>
        <v>TEXT</v>
      </c>
      <c r="R24" s="74" t="str">
        <f t="shared" ref="R24:R27" si="14">IF(H24&lt;&gt;"","default "&amp;IF(G24="text","'"&amp;H24&amp;"'",H24),"")</f>
        <v/>
      </c>
      <c r="S24" s="74" t="str">
        <f t="shared" ref="S24:S27" si="15">IF(I24="○","NOT NULL","")</f>
        <v>NOT NULL</v>
      </c>
      <c r="T24" s="74" t="str">
        <f t="shared" ref="T24:T27" si="16">"-- "&amp;C24</f>
        <v>-- 記載確定日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milscm_2023_007.sgioy_202310_work_text_temp.comfirm_date IS '記載確定日';</v>
      </c>
    </row>
    <row r="25" spans="1:52" s="25" customFormat="1">
      <c r="A25" s="4"/>
      <c r="B25" s="21">
        <f t="shared" si="2"/>
        <v>13</v>
      </c>
      <c r="C25" s="13" t="s">
        <v>4259</v>
      </c>
      <c r="D25" s="13" t="s">
        <v>1527</v>
      </c>
      <c r="E25" s="7"/>
      <c r="F25" s="7" t="s">
        <v>1784</v>
      </c>
      <c r="G25" s="7" t="str">
        <f t="shared" si="3"/>
        <v>text</v>
      </c>
      <c r="H25" s="58"/>
      <c r="I25" s="23"/>
      <c r="J25" s="24" t="s">
        <v>4268</v>
      </c>
      <c r="M25" s="4"/>
      <c r="N25" s="74"/>
      <c r="O25" s="74"/>
      <c r="P25" s="74" t="str">
        <f t="shared" si="12"/>
        <v>,event_date</v>
      </c>
      <c r="Q25" s="74" t="str">
        <f t="shared" si="13"/>
        <v>TEXT</v>
      </c>
      <c r="R25" s="74" t="str">
        <f t="shared" si="14"/>
        <v/>
      </c>
      <c r="S25" s="74" t="str">
        <f t="shared" si="15"/>
        <v/>
      </c>
      <c r="T25" s="74" t="str">
        <f t="shared" si="16"/>
        <v>-- イベント発生日時</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milscm_2023_007.sgioy_202310_work_text_temp.event_date IS 'イベント発生日時';</v>
      </c>
    </row>
    <row r="26" spans="1:52" s="25" customFormat="1">
      <c r="A26" s="4"/>
      <c r="B26" s="21">
        <f t="shared" si="2"/>
        <v>14</v>
      </c>
      <c r="C26" s="13" t="s">
        <v>4260</v>
      </c>
      <c r="D26" s="13" t="s">
        <v>1442</v>
      </c>
      <c r="E26" s="7"/>
      <c r="F26" s="7" t="s">
        <v>1784</v>
      </c>
      <c r="G26" s="7" t="str">
        <f t="shared" si="3"/>
        <v>text</v>
      </c>
      <c r="H26" s="58"/>
      <c r="I26" s="23"/>
      <c r="J26" s="24" t="s">
        <v>4269</v>
      </c>
      <c r="M26" s="4"/>
      <c r="N26" s="74"/>
      <c r="O26" s="74"/>
      <c r="P26" s="74" t="str">
        <f t="shared" si="12"/>
        <v>,history_start_ymd</v>
      </c>
      <c r="Q26" s="74" t="str">
        <f t="shared" si="13"/>
        <v>TEXT</v>
      </c>
      <c r="R26" s="74" t="str">
        <f t="shared" si="14"/>
        <v/>
      </c>
      <c r="S26" s="74" t="str">
        <f t="shared" si="15"/>
        <v/>
      </c>
      <c r="T26" s="74" t="str">
        <f t="shared" si="16"/>
        <v>-- サマリ対象期間の開始日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milscm_2023_007.sgioy_202310_work_text_temp.history_start_ymd IS 'サマリ対象期間の開始日';</v>
      </c>
    </row>
    <row r="27" spans="1:52" s="25" customFormat="1">
      <c r="A27" s="4"/>
      <c r="B27" s="21">
        <f t="shared" si="2"/>
        <v>15</v>
      </c>
      <c r="C27" s="13" t="s">
        <v>4261</v>
      </c>
      <c r="D27" s="13" t="s">
        <v>1444</v>
      </c>
      <c r="E27" s="7"/>
      <c r="F27" s="7" t="s">
        <v>1784</v>
      </c>
      <c r="G27" s="7" t="str">
        <f t="shared" si="3"/>
        <v>text</v>
      </c>
      <c r="H27" s="58"/>
      <c r="I27" s="23"/>
      <c r="J27" s="24" t="s">
        <v>4270</v>
      </c>
      <c r="M27" s="4"/>
      <c r="N27" s="74"/>
      <c r="O27" s="74"/>
      <c r="P27" s="74" t="str">
        <f t="shared" si="12"/>
        <v>,history_end_ymd</v>
      </c>
      <c r="Q27" s="74" t="str">
        <f t="shared" si="13"/>
        <v>TEXT</v>
      </c>
      <c r="R27" s="74" t="str">
        <f t="shared" si="14"/>
        <v/>
      </c>
      <c r="S27" s="74" t="str">
        <f t="shared" si="15"/>
        <v/>
      </c>
      <c r="T27" s="74" t="str">
        <f t="shared" si="16"/>
        <v>-- サマリ対象期間の終了日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milscm_2023_007.sgioy_202310_work_text_temp.history_end_ymd IS 'サマリ対象期間の終了日';</v>
      </c>
    </row>
    <row r="28" spans="1:52" s="25" customFormat="1" ht="18" thickBot="1">
      <c r="A28" s="4"/>
      <c r="B28" s="27">
        <f>ROW()-12</f>
        <v>16</v>
      </c>
      <c r="C28" s="57" t="s">
        <v>4262</v>
      </c>
      <c r="D28" s="57" t="s">
        <v>4263</v>
      </c>
      <c r="E28" s="56"/>
      <c r="F28" s="56" t="s">
        <v>4248</v>
      </c>
      <c r="G28" s="56" t="str">
        <f t="shared" si="3"/>
        <v>text</v>
      </c>
      <c r="H28" s="59"/>
      <c r="I28" s="60" t="s">
        <v>127</v>
      </c>
      <c r="J28" s="62" t="s">
        <v>4271</v>
      </c>
      <c r="N28" s="74"/>
      <c r="O28" s="74"/>
      <c r="P28" s="74" t="str">
        <f t="shared" si="4"/>
        <v>,original_text</v>
      </c>
      <c r="Q28" s="74" t="str">
        <f t="shared" si="0"/>
        <v>TEXT</v>
      </c>
      <c r="R28" s="74" t="str">
        <f t="shared" si="1"/>
        <v/>
      </c>
      <c r="S28" s="74" t="str">
        <f t="shared" si="5"/>
        <v>NOT NULL</v>
      </c>
      <c r="T28" s="74" t="str">
        <f t="shared" si="6"/>
        <v>-- オリジナルテキスト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milscm_2023_007.sgioy_202310_work_text_temp.original_text IS 'オリジナルテキスト';</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2" t="s">
        <v>110</v>
      </c>
      <c r="C1" s="223"/>
      <c r="D1" s="226" t="s">
        <v>111</v>
      </c>
      <c r="E1" s="227"/>
      <c r="F1" s="227"/>
      <c r="G1" s="218"/>
      <c r="H1" s="226" t="s">
        <v>112</v>
      </c>
      <c r="I1" s="218"/>
      <c r="J1" s="15" t="s">
        <v>113</v>
      </c>
    </row>
    <row r="2" spans="1:45" ht="18" thickBot="1">
      <c r="B2" s="224"/>
      <c r="C2" s="225"/>
      <c r="D2" s="228" t="s">
        <v>114</v>
      </c>
      <c r="E2" s="229"/>
      <c r="F2" s="229"/>
      <c r="G2" s="230"/>
      <c r="H2" s="231"/>
      <c r="I2" s="232"/>
      <c r="J2" s="17"/>
    </row>
    <row r="3" spans="1:45" ht="18" thickBot="1">
      <c r="B3" s="5"/>
      <c r="C3" s="5"/>
      <c r="D3" s="5"/>
      <c r="E3" s="5"/>
      <c r="F3" s="5"/>
      <c r="G3" s="5"/>
      <c r="H3" s="5"/>
      <c r="I3" s="5"/>
      <c r="J3" s="18"/>
    </row>
    <row r="4" spans="1:45">
      <c r="B4" s="217" t="s">
        <v>3718</v>
      </c>
      <c r="C4" s="218"/>
      <c r="D4" s="219" t="str">
        <f>VLOOKUP(D7,エンティティ一覧!A1:'エンティティ一覧'!AM10179,2,FALSE)</f>
        <v>41</v>
      </c>
      <c r="E4" s="220"/>
      <c r="F4" s="220"/>
      <c r="G4" s="220"/>
      <c r="H4" s="220"/>
      <c r="I4" s="220"/>
      <c r="J4" s="221"/>
    </row>
    <row r="5" spans="1:45">
      <c r="B5" s="233" t="s">
        <v>3719</v>
      </c>
      <c r="C5" s="234"/>
      <c r="D5" s="243" t="str">
        <f>VLOOKUP(D7,エンティティ一覧!A1:'エンティティ一覧'!AM10179,7,FALSE)</f>
        <v>work</v>
      </c>
      <c r="E5" s="244"/>
      <c r="F5" s="244"/>
      <c r="G5" s="244"/>
      <c r="H5" s="244"/>
      <c r="I5" s="244"/>
      <c r="J5" s="245"/>
    </row>
    <row r="6" spans="1:45">
      <c r="B6" s="233" t="s">
        <v>3720</v>
      </c>
      <c r="C6" s="234"/>
      <c r="D6" s="243" t="str">
        <f>VLOOKUP(D7,エンティティ一覧!A1:'エンティティ一覧'!AM10179,15,FALSE)</f>
        <v>ENT_41_19</v>
      </c>
      <c r="E6" s="244"/>
      <c r="F6" s="244"/>
      <c r="G6" s="244"/>
      <c r="H6" s="244"/>
      <c r="I6" s="244"/>
      <c r="J6" s="245"/>
    </row>
    <row r="7" spans="1:45">
      <c r="B7" s="233" t="s">
        <v>115</v>
      </c>
      <c r="C7" s="234"/>
      <c r="D7" s="235" t="s">
        <v>4219</v>
      </c>
      <c r="E7" s="236"/>
      <c r="F7" s="236"/>
      <c r="G7" s="236"/>
      <c r="H7" s="236"/>
      <c r="I7" s="236"/>
      <c r="J7" s="237"/>
    </row>
    <row r="8" spans="1:45">
      <c r="B8" s="233" t="s">
        <v>116</v>
      </c>
      <c r="C8" s="234"/>
      <c r="D8" s="235" t="str">
        <f>エンティティ一覧!AE2&amp;"_"&amp;D5&amp;"_text"</f>
        <v>sgioy_202310_work_text</v>
      </c>
      <c r="E8" s="236"/>
      <c r="F8" s="236"/>
      <c r="G8" s="236"/>
      <c r="H8" s="236"/>
      <c r="I8" s="236"/>
      <c r="J8" s="237"/>
    </row>
    <row r="9" spans="1:45" ht="19.5" customHeight="1" thickBot="1">
      <c r="B9" s="238" t="s">
        <v>117</v>
      </c>
      <c r="C9" s="239"/>
      <c r="D9" s="240" t="s">
        <v>4247</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milscm_2023_007.sgioy_202310_work_text;</v>
      </c>
      <c r="O10" s="74"/>
      <c r="P10" s="74"/>
      <c r="Q10" s="74"/>
      <c r="R10" s="74"/>
      <c r="S10" s="74"/>
      <c r="T10" s="74"/>
      <c r="AJ10" s="74" t="str">
        <f>"ALTER TABLE ONLY "&amp;エンティティ一覧!$O$2&amp;"."&amp;D$8</f>
        <v>ALTER TABLE ONLY milscm_2023_007.sgioy_202310_work_text</v>
      </c>
      <c r="AS10" s="74" t="str">
        <f>"ALTER TABLE "&amp;エンティティ一覧!$O$2&amp;"."&amp;D$8&amp;" OWNER TO pgmisgrp1;"</f>
        <v>ALTER TABLE milscm_2023_007.sgioy_202310_work_text OWNER TO pgmisgrp1;</v>
      </c>
    </row>
    <row r="11" spans="1:45" ht="18" thickBot="1">
      <c r="B11" s="20" t="s">
        <v>118</v>
      </c>
      <c r="C11" s="19"/>
      <c r="D11" s="5"/>
      <c r="E11" s="5"/>
      <c r="F11" s="5"/>
      <c r="G11" s="5"/>
      <c r="H11" s="5"/>
      <c r="I11" s="5"/>
      <c r="J11" s="18"/>
      <c r="N11" s="74" t="str">
        <f>"CREATE TABLE  "&amp;エンティティ一覧!$O$2&amp;"."&amp;D$8</f>
        <v>CREATE TABLE  milscm_2023_007.sgioy_202310_work_text</v>
      </c>
      <c r="O11" s="74"/>
      <c r="P11" s="74"/>
      <c r="Q11" s="74"/>
      <c r="R11" s="74"/>
      <c r="S11" s="74"/>
      <c r="T11" s="74"/>
      <c r="AJ11" s="74" t="str">
        <f>"ADD CONSTRAINT "&amp;D$8&amp;"_pkey PRIMARY KEY"</f>
        <v>ADD CONSTRAINT sgioy_202310_work_text_pkey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milscm_2023_007.sgioy_202310_work_text IS 'ワーク_テキスト情報';</v>
      </c>
    </row>
    <row r="13" spans="1:45" s="25" customFormat="1">
      <c r="A13" s="4"/>
      <c r="B13" s="21">
        <f>ROW()-12</f>
        <v>1</v>
      </c>
      <c r="C13" s="6" t="s">
        <v>3813</v>
      </c>
      <c r="D13" s="6" t="s">
        <v>3814</v>
      </c>
      <c r="E13" s="8" t="s">
        <v>127</v>
      </c>
      <c r="F13" s="8" t="s">
        <v>4248</v>
      </c>
      <c r="G13" s="7" t="str">
        <f>IF(F13="フラグ","boolean",IF(F13="文字列","text",IF(F13="整数","integer",IF(F13="実数","numeric",""))))</f>
        <v>text</v>
      </c>
      <c r="H13" s="9"/>
      <c r="I13" s="10" t="s">
        <v>127</v>
      </c>
      <c r="J13" s="11"/>
      <c r="M13" s="4"/>
      <c r="N13" s="74"/>
      <c r="O13" s="74"/>
      <c r="P13" s="74" t="str">
        <f>IF(B13&lt;&gt;1,","&amp;D13,D13)</f>
        <v>mask_id</v>
      </c>
      <c r="Q13" s="74" t="str">
        <f t="shared" ref="Q13:Q29" si="0">UPPER(G13)</f>
        <v>TEXT</v>
      </c>
      <c r="R13" s="74" t="str">
        <f t="shared" ref="R13:R29"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milscm_2023_007.sgioy_202310_work_text.mask_id IS 'マスクID';</v>
      </c>
    </row>
    <row r="14" spans="1:45" s="25" customFormat="1">
      <c r="A14" s="4"/>
      <c r="B14" s="21">
        <f t="shared" ref="B14:B28" si="2">ROW()-12</f>
        <v>2</v>
      </c>
      <c r="C14" s="13" t="s">
        <v>4274</v>
      </c>
      <c r="D14" s="13" t="s">
        <v>4275</v>
      </c>
      <c r="E14" s="7"/>
      <c r="F14" s="7" t="s">
        <v>1825</v>
      </c>
      <c r="G14" s="7" t="str">
        <f t="shared" ref="G14:G29" si="3">IF(F14="フラグ","boolean",IF(F14="文字列","text",IF(F14="整数","integer",IF(F14="実数","numeric",""))))</f>
        <v>text</v>
      </c>
      <c r="H14" s="58"/>
      <c r="I14" s="23" t="s">
        <v>127</v>
      </c>
      <c r="J14" s="24" t="s">
        <v>4276</v>
      </c>
      <c r="M14" s="4"/>
      <c r="N14" s="74"/>
      <c r="O14" s="74"/>
      <c r="P14" s="74" t="str">
        <f t="shared" ref="P14:P29" si="4">IF(B14&lt;&gt;1,","&amp;D14,D14)</f>
        <v>,link_no</v>
      </c>
      <c r="Q14" s="74" t="str">
        <f t="shared" si="0"/>
        <v>TEXT</v>
      </c>
      <c r="R14" s="74" t="str">
        <f t="shared" si="1"/>
        <v/>
      </c>
      <c r="S14" s="74" t="str">
        <f t="shared" ref="S14:S29" si="5">IF(I14="○","NOT NULL","")</f>
        <v>NOT NULL</v>
      </c>
      <c r="T14" s="74" t="str">
        <f t="shared" ref="T14:T29" si="6">"-- "&amp;C14</f>
        <v>-- テキスト連結番号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milscm_2023_007.sgioy_202310_work_text.link_no IS 'テキスト連結番号';</v>
      </c>
    </row>
    <row r="15" spans="1:45" s="25" customFormat="1">
      <c r="A15" s="4"/>
      <c r="B15" s="21">
        <f t="shared" si="2"/>
        <v>3</v>
      </c>
      <c r="C15" s="13" t="s">
        <v>1251</v>
      </c>
      <c r="D15" s="13" t="s">
        <v>1252</v>
      </c>
      <c r="E15" s="7" t="s">
        <v>127</v>
      </c>
      <c r="F15" s="7" t="s">
        <v>862</v>
      </c>
      <c r="G15" s="7" t="str">
        <f t="shared" si="3"/>
        <v>text</v>
      </c>
      <c r="H15" s="58"/>
      <c r="I15" s="23" t="s">
        <v>127</v>
      </c>
      <c r="J15" s="24"/>
      <c r="M15" s="4"/>
      <c r="N15" s="74"/>
      <c r="O15" s="74"/>
      <c r="P15" s="74" t="str">
        <f t="shared" si="4"/>
        <v>,uid</v>
      </c>
      <c r="Q15" s="74" t="str">
        <f t="shared" si="0"/>
        <v>TEXT</v>
      </c>
      <c r="R15" s="74" t="str">
        <f t="shared" si="1"/>
        <v/>
      </c>
      <c r="S15" s="74" t="str">
        <f t="shared" si="5"/>
        <v>NOT NULL</v>
      </c>
      <c r="T15" s="74" t="str">
        <f t="shared" si="6"/>
        <v>-- 文書ユニークID</v>
      </c>
      <c r="U15" s="4"/>
      <c r="AA15" s="4"/>
      <c r="AB15" s="4"/>
      <c r="AC15" s="4"/>
      <c r="AD15" s="4"/>
      <c r="AE15" s="4"/>
      <c r="AF15" s="4"/>
      <c r="AG15" s="4"/>
      <c r="AH15" s="4"/>
      <c r="AI15" s="4"/>
      <c r="AJ15" s="74" t="str">
        <f>IF(E15="○",IF(COUNTA(E$13:E15)=1,"",",")&amp;D15,"")</f>
        <v>,uid</v>
      </c>
      <c r="AK15" s="4"/>
      <c r="AL15" s="4"/>
      <c r="AM15" s="4"/>
      <c r="AN15" s="4"/>
      <c r="AO15" s="4"/>
      <c r="AP15" s="4"/>
      <c r="AQ15" s="4"/>
      <c r="AR15" s="4"/>
      <c r="AS15" s="74" t="str">
        <f>"COMMENT ON COLUMN "&amp;エンティティ一覧!$O$2&amp;"."&amp;D$8&amp;"."&amp;D15&amp;" IS '"&amp;C15&amp;"';"</f>
        <v>COMMENT ON COLUMN milscm_2023_007.sgioy_202310_work_text.uid IS '文書ユニークID';</v>
      </c>
    </row>
    <row r="16" spans="1:45" s="25" customFormat="1" ht="52.2">
      <c r="A16" s="4"/>
      <c r="B16" s="21">
        <f t="shared" si="2"/>
        <v>4</v>
      </c>
      <c r="C16" s="13" t="s">
        <v>4250</v>
      </c>
      <c r="D16" s="13" t="s">
        <v>4251</v>
      </c>
      <c r="E16" s="7" t="s">
        <v>127</v>
      </c>
      <c r="F16" s="7" t="s">
        <v>203</v>
      </c>
      <c r="G16" s="7" t="str">
        <f t="shared" si="3"/>
        <v>integer</v>
      </c>
      <c r="H16" s="58"/>
      <c r="I16" s="23" t="s">
        <v>127</v>
      </c>
      <c r="J16" s="24" t="s">
        <v>4264</v>
      </c>
      <c r="M16" s="4"/>
      <c r="N16" s="74"/>
      <c r="O16" s="74"/>
      <c r="P16" s="74" t="str">
        <f t="shared" si="4"/>
        <v>,module_seq</v>
      </c>
      <c r="Q16" s="74" t="str">
        <f t="shared" si="0"/>
        <v>INTEGER</v>
      </c>
      <c r="R16" s="74" t="str">
        <f t="shared" si="1"/>
        <v/>
      </c>
      <c r="S16" s="74" t="str">
        <f t="shared" si="5"/>
        <v>NOT NULL</v>
      </c>
      <c r="T16" s="74" t="str">
        <f t="shared" si="6"/>
        <v>-- モジュールSEQ</v>
      </c>
      <c r="U16" s="4"/>
      <c r="AA16" s="4"/>
      <c r="AB16" s="4"/>
      <c r="AC16" s="4"/>
      <c r="AD16" s="4"/>
      <c r="AE16" s="4"/>
      <c r="AF16" s="4"/>
      <c r="AG16" s="4"/>
      <c r="AH16" s="4"/>
      <c r="AI16" s="4"/>
      <c r="AJ16" s="74" t="str">
        <f>IF(E16="○",IF(COUNTA(E$13:E16)=1,"",",")&amp;D16,"")</f>
        <v>,module_seq</v>
      </c>
      <c r="AK16" s="4"/>
      <c r="AL16" s="4"/>
      <c r="AM16" s="4"/>
      <c r="AN16" s="4"/>
      <c r="AO16" s="4"/>
      <c r="AP16" s="4"/>
      <c r="AQ16" s="4"/>
      <c r="AR16" s="4"/>
      <c r="AS16" s="74" t="str">
        <f>"COMMENT ON COLUMN "&amp;エンティティ一覧!$O$2&amp;"."&amp;D$8&amp;"."&amp;D16&amp;" IS '"&amp;C16&amp;"';"</f>
        <v>COMMENT ON COLUMN milscm_2023_007.sgioy_202310_work_text.module_seq IS 'モジュールSEQ';</v>
      </c>
    </row>
    <row r="17" spans="1:52" s="25" customFormat="1">
      <c r="A17" s="4"/>
      <c r="B17" s="21">
        <f t="shared" si="2"/>
        <v>5</v>
      </c>
      <c r="C17" s="13" t="s">
        <v>1356</v>
      </c>
      <c r="D17" s="13" t="s">
        <v>1357</v>
      </c>
      <c r="E17" s="7" t="s">
        <v>127</v>
      </c>
      <c r="F17" s="7" t="s">
        <v>203</v>
      </c>
      <c r="G17" s="7" t="str">
        <f t="shared" si="3"/>
        <v>integer</v>
      </c>
      <c r="H17" s="58"/>
      <c r="I17" s="23" t="s">
        <v>127</v>
      </c>
      <c r="J17" s="24" t="s">
        <v>1380</v>
      </c>
      <c r="M17" s="4"/>
      <c r="N17" s="74"/>
      <c r="O17" s="74"/>
      <c r="P17" s="74" t="str">
        <f t="shared" si="4"/>
        <v>,problem_seq</v>
      </c>
      <c r="Q17" s="74" t="str">
        <f t="shared" si="0"/>
        <v>INTEGER</v>
      </c>
      <c r="R17" s="74" t="str">
        <f t="shared" si="1"/>
        <v/>
      </c>
      <c r="S17" s="74" t="str">
        <f t="shared" si="5"/>
        <v>NOT NULL</v>
      </c>
      <c r="T17" s="74" t="str">
        <f t="shared" si="6"/>
        <v>-- プロブレムSEQ</v>
      </c>
      <c r="U17" s="4"/>
      <c r="AA17" s="4"/>
      <c r="AB17" s="4"/>
      <c r="AC17" s="4"/>
      <c r="AD17" s="4"/>
      <c r="AE17" s="4"/>
      <c r="AF17" s="4"/>
      <c r="AG17" s="4"/>
      <c r="AH17" s="4"/>
      <c r="AI17" s="4"/>
      <c r="AJ17" s="74" t="str">
        <f>IF(E17="○",IF(COUNTA(E$13:E17)=1,"",",")&amp;D17,"")</f>
        <v>,problem_seq</v>
      </c>
      <c r="AK17" s="4"/>
      <c r="AL17" s="4"/>
      <c r="AM17" s="4"/>
      <c r="AN17" s="4"/>
      <c r="AO17" s="4"/>
      <c r="AP17" s="4"/>
      <c r="AQ17" s="4"/>
      <c r="AR17" s="4"/>
      <c r="AS17" s="74" t="str">
        <f>"COMMENT ON COLUMN "&amp;エンティティ一覧!$O$2&amp;"."&amp;D$8&amp;"."&amp;D17&amp;" IS '"&amp;C17&amp;"';"</f>
        <v>COMMENT ON COLUMN milscm_2023_007.sgioy_202310_work_text.problem_seq IS 'プロブレムSEQ';</v>
      </c>
    </row>
    <row r="18" spans="1:52" s="25" customFormat="1">
      <c r="A18" s="4"/>
      <c r="B18" s="21">
        <f t="shared" si="2"/>
        <v>6</v>
      </c>
      <c r="C18" s="13" t="s">
        <v>1408</v>
      </c>
      <c r="D18" s="13" t="s">
        <v>1409</v>
      </c>
      <c r="E18" s="7" t="s">
        <v>127</v>
      </c>
      <c r="F18" s="7" t="s">
        <v>203</v>
      </c>
      <c r="G18" s="7" t="str">
        <f t="shared" si="3"/>
        <v>integer</v>
      </c>
      <c r="H18" s="58"/>
      <c r="I18" s="23" t="s">
        <v>127</v>
      </c>
      <c r="J18" s="24" t="s">
        <v>1412</v>
      </c>
      <c r="M18" s="4"/>
      <c r="N18" s="74"/>
      <c r="O18" s="74"/>
      <c r="P18" s="74" t="str">
        <f t="shared" si="4"/>
        <v>,assessment_item_seq</v>
      </c>
      <c r="Q18" s="74" t="str">
        <f t="shared" si="0"/>
        <v>INTEGER</v>
      </c>
      <c r="R18" s="74" t="str">
        <f t="shared" si="1"/>
        <v/>
      </c>
      <c r="S18" s="74" t="str">
        <f t="shared" si="5"/>
        <v>NOT NULL</v>
      </c>
      <c r="T18" s="74" t="str">
        <f t="shared" si="6"/>
        <v>-- アセスメントSEQ</v>
      </c>
      <c r="U18" s="4"/>
      <c r="AA18" s="4"/>
      <c r="AB18" s="4"/>
      <c r="AC18" s="4"/>
      <c r="AD18" s="4"/>
      <c r="AE18" s="4"/>
      <c r="AF18" s="4"/>
      <c r="AG18" s="4"/>
      <c r="AH18" s="4"/>
      <c r="AI18" s="4"/>
      <c r="AJ18" s="74" t="str">
        <f>IF(E18="○",IF(COUNTA(E$13:E18)=1,"",",")&amp;D18,"")</f>
        <v>,assessment_item_seq</v>
      </c>
      <c r="AK18" s="4"/>
      <c r="AL18" s="4"/>
      <c r="AM18" s="4"/>
      <c r="AN18" s="4"/>
      <c r="AO18" s="4"/>
      <c r="AP18" s="4"/>
      <c r="AQ18" s="4"/>
      <c r="AR18" s="4"/>
      <c r="AS18" s="74" t="str">
        <f>"COMMENT ON COLUMN "&amp;エンティティ一覧!$O$2&amp;"."&amp;D$8&amp;"."&amp;D18&amp;" IS '"&amp;C18&amp;"';"</f>
        <v>COMMENT ON COLUMN milscm_2023_007.sgioy_202310_work_text.assessment_item_seq IS 'アセスメントSEQ';</v>
      </c>
    </row>
    <row r="19" spans="1:52" s="25" customFormat="1">
      <c r="A19" s="4"/>
      <c r="B19" s="21">
        <f t="shared" si="2"/>
        <v>7</v>
      </c>
      <c r="C19" s="13" t="s">
        <v>1418</v>
      </c>
      <c r="D19" s="13" t="s">
        <v>1419</v>
      </c>
      <c r="E19" s="7" t="s">
        <v>127</v>
      </c>
      <c r="F19" s="7" t="s">
        <v>203</v>
      </c>
      <c r="G19" s="7" t="str">
        <f t="shared" si="3"/>
        <v>integer</v>
      </c>
      <c r="H19" s="58"/>
      <c r="I19" s="23" t="s">
        <v>127</v>
      </c>
      <c r="J19" s="24" t="s">
        <v>1431</v>
      </c>
      <c r="M19" s="4"/>
      <c r="N19" s="74"/>
      <c r="O19" s="74"/>
      <c r="P19" s="74" t="str">
        <f t="shared" si="4"/>
        <v>,gaibu_sansyo_seq</v>
      </c>
      <c r="Q19" s="74" t="str">
        <f t="shared" si="0"/>
        <v>INTEGER</v>
      </c>
      <c r="R19" s="74" t="str">
        <f t="shared" si="1"/>
        <v/>
      </c>
      <c r="S19" s="74" t="str">
        <f t="shared" si="5"/>
        <v>NOT NULL</v>
      </c>
      <c r="T19" s="74" t="str">
        <f t="shared" si="6"/>
        <v>-- 外部参照SEQ</v>
      </c>
      <c r="U19" s="4"/>
      <c r="AA19" s="4"/>
      <c r="AB19" s="4"/>
      <c r="AC19" s="4"/>
      <c r="AD19" s="4"/>
      <c r="AE19" s="4"/>
      <c r="AF19" s="4"/>
      <c r="AG19" s="4"/>
      <c r="AH19" s="4"/>
      <c r="AI19" s="4"/>
      <c r="AJ19" s="74" t="str">
        <f>IF(E19="○",IF(COUNTA(E$13:E19)=1,"",",")&amp;D19,"")</f>
        <v>,gaibu_sansyo_seq</v>
      </c>
      <c r="AK19" s="4"/>
      <c r="AL19" s="4"/>
      <c r="AM19" s="4"/>
      <c r="AN19" s="4"/>
      <c r="AO19" s="4"/>
      <c r="AP19" s="4"/>
      <c r="AQ19" s="4"/>
      <c r="AR19" s="4"/>
      <c r="AS19" s="74" t="str">
        <f>"COMMENT ON COLUMN "&amp;エンティティ一覧!$O$2&amp;"."&amp;D$8&amp;"."&amp;D19&amp;" IS '"&amp;C19&amp;"';"</f>
        <v>COMMENT ON COLUMN milscm_2023_007.sgioy_202310_work_text.gaibu_sansyo_seq IS '外部参照SEQ';</v>
      </c>
    </row>
    <row r="20" spans="1:52" s="25" customFormat="1">
      <c r="A20" s="4"/>
      <c r="B20" s="21">
        <f t="shared" si="2"/>
        <v>8</v>
      </c>
      <c r="C20" s="13" t="s">
        <v>1348</v>
      </c>
      <c r="D20" s="13" t="s">
        <v>1349</v>
      </c>
      <c r="E20" s="7" t="s">
        <v>127</v>
      </c>
      <c r="F20" s="7" t="s">
        <v>203</v>
      </c>
      <c r="G20" s="7" t="str">
        <f t="shared" si="3"/>
        <v>integer</v>
      </c>
      <c r="H20" s="58"/>
      <c r="I20" s="23" t="s">
        <v>127</v>
      </c>
      <c r="J20" s="24" t="s">
        <v>1532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milscm_2023_007.sgioy_202310_work_text.keika_seq IS '経過記録SEQ';</v>
      </c>
    </row>
    <row r="21" spans="1:52" s="25" customFormat="1">
      <c r="A21" s="4"/>
      <c r="B21" s="21">
        <f t="shared" si="2"/>
        <v>9</v>
      </c>
      <c r="C21" s="13" t="s">
        <v>4252</v>
      </c>
      <c r="D21" s="13" t="s">
        <v>4253</v>
      </c>
      <c r="E21" s="7"/>
      <c r="F21" s="7" t="s">
        <v>1784</v>
      </c>
      <c r="G21" s="7" t="str">
        <f t="shared" si="3"/>
        <v>text</v>
      </c>
      <c r="H21" s="58"/>
      <c r="I21" s="23" t="s">
        <v>127</v>
      </c>
      <c r="J21" s="24" t="s">
        <v>4265</v>
      </c>
      <c r="M21" s="4"/>
      <c r="N21" s="74"/>
      <c r="O21" s="74"/>
      <c r="P21" s="74" t="str">
        <f t="shared" si="4"/>
        <v>,source_module</v>
      </c>
      <c r="Q21" s="74" t="str">
        <f t="shared" si="0"/>
        <v>TEXT</v>
      </c>
      <c r="R21" s="74" t="str">
        <f t="shared" si="1"/>
        <v/>
      </c>
      <c r="S21" s="74" t="str">
        <f t="shared" si="5"/>
        <v>NOT NULL</v>
      </c>
      <c r="T21" s="74" t="str">
        <f t="shared" si="6"/>
        <v>-- モジュール名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milscm_2023_007.sgioy_202310_work_text.source_module IS 'モジュール名';</v>
      </c>
    </row>
    <row r="22" spans="1:52" s="25" customFormat="1" ht="87">
      <c r="A22" s="4"/>
      <c r="B22" s="21">
        <f t="shared" si="2"/>
        <v>10</v>
      </c>
      <c r="C22" s="13" t="s">
        <v>4254</v>
      </c>
      <c r="D22" s="13" t="s">
        <v>4255</v>
      </c>
      <c r="E22" s="7"/>
      <c r="F22" s="7" t="s">
        <v>1784</v>
      </c>
      <c r="G22" s="7" t="str">
        <f t="shared" si="3"/>
        <v>text</v>
      </c>
      <c r="H22" s="58"/>
      <c r="I22" s="23" t="s">
        <v>127</v>
      </c>
      <c r="J22" s="24" t="s">
        <v>4266</v>
      </c>
      <c r="M22" s="4"/>
      <c r="N22" s="74"/>
      <c r="O22" s="74"/>
      <c r="P22" s="74" t="str">
        <f t="shared" si="4"/>
        <v>,source_table</v>
      </c>
      <c r="Q22" s="74" t="str">
        <f t="shared" si="0"/>
        <v>TEXT</v>
      </c>
      <c r="R22" s="74" t="str">
        <f t="shared" si="1"/>
        <v/>
      </c>
      <c r="S22" s="74" t="str">
        <f t="shared" si="5"/>
        <v>NOT NULL</v>
      </c>
      <c r="T22" s="74" t="str">
        <f t="shared" si="6"/>
        <v>-- 取得元テーブル名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milscm_2023_007.sgioy_202310_work_text.source_table IS '取得元テーブル名';</v>
      </c>
    </row>
    <row r="23" spans="1:52" s="25" customFormat="1" ht="156.6">
      <c r="A23" s="4"/>
      <c r="B23" s="21">
        <f t="shared" si="2"/>
        <v>11</v>
      </c>
      <c r="C23" s="13" t="s">
        <v>4256</v>
      </c>
      <c r="D23" s="13" t="s">
        <v>4257</v>
      </c>
      <c r="E23" s="7" t="s">
        <v>127</v>
      </c>
      <c r="F23" s="7" t="s">
        <v>1784</v>
      </c>
      <c r="G23" s="7" t="str">
        <f t="shared" si="3"/>
        <v>text</v>
      </c>
      <c r="H23" s="58"/>
      <c r="I23" s="23" t="s">
        <v>127</v>
      </c>
      <c r="J23" s="24" t="s">
        <v>4267</v>
      </c>
      <c r="M23" s="4"/>
      <c r="N23" s="74"/>
      <c r="O23" s="74"/>
      <c r="P23" s="74" t="str">
        <f t="shared" si="4"/>
        <v>,source_column</v>
      </c>
      <c r="Q23" s="74" t="str">
        <f t="shared" si="0"/>
        <v>TEXT</v>
      </c>
      <c r="R23" s="74" t="str">
        <f t="shared" si="1"/>
        <v/>
      </c>
      <c r="S23" s="74" t="str">
        <f t="shared" si="5"/>
        <v>NOT NULL</v>
      </c>
      <c r="T23" s="74" t="str">
        <f t="shared" si="6"/>
        <v>-- 取得元カラム名</v>
      </c>
      <c r="U23" s="4"/>
      <c r="AA23" s="4"/>
      <c r="AB23" s="4"/>
      <c r="AC23" s="4"/>
      <c r="AD23" s="4"/>
      <c r="AE23" s="4"/>
      <c r="AF23" s="4"/>
      <c r="AG23" s="4"/>
      <c r="AH23" s="4"/>
      <c r="AI23" s="4"/>
      <c r="AJ23" s="74" t="str">
        <f>IF(E23="○",IF(COUNTA(E$13:E23)=1,"",",")&amp;D23,"")</f>
        <v>,source_column</v>
      </c>
      <c r="AK23" s="4"/>
      <c r="AL23" s="4"/>
      <c r="AM23" s="4"/>
      <c r="AN23" s="4"/>
      <c r="AO23" s="4"/>
      <c r="AP23" s="4"/>
      <c r="AQ23" s="4"/>
      <c r="AR23" s="4"/>
      <c r="AS23" s="74" t="str">
        <f>"COMMENT ON COLUMN "&amp;エンティティ一覧!$O$2&amp;"."&amp;D$8&amp;"."&amp;D23&amp;" IS '"&amp;C23&amp;"';"</f>
        <v>COMMENT ON COLUMN milscm_2023_007.sgioy_202310_work_text.source_column IS '取得元カラム名';</v>
      </c>
    </row>
    <row r="24" spans="1:52" s="25" customFormat="1">
      <c r="A24" s="4"/>
      <c r="B24" s="21">
        <f t="shared" si="2"/>
        <v>12</v>
      </c>
      <c r="C24" s="13" t="s">
        <v>4258</v>
      </c>
      <c r="D24" s="13" t="s">
        <v>3269</v>
      </c>
      <c r="E24" s="7"/>
      <c r="F24" s="7" t="s">
        <v>1784</v>
      </c>
      <c r="G24" s="7" t="str">
        <f t="shared" si="3"/>
        <v>text</v>
      </c>
      <c r="H24" s="58"/>
      <c r="I24" s="23" t="s">
        <v>127</v>
      </c>
      <c r="J24" s="24"/>
      <c r="M24" s="4"/>
      <c r="N24" s="74"/>
      <c r="O24" s="74"/>
      <c r="P24" s="74" t="str">
        <f t="shared" si="4"/>
        <v>,comfirm_date</v>
      </c>
      <c r="Q24" s="74" t="str">
        <f t="shared" si="0"/>
        <v>TEXT</v>
      </c>
      <c r="R24" s="74" t="str">
        <f t="shared" si="1"/>
        <v/>
      </c>
      <c r="S24" s="74" t="str">
        <f t="shared" si="5"/>
        <v>NOT NULL</v>
      </c>
      <c r="T24" s="74" t="str">
        <f t="shared" si="6"/>
        <v>-- 記載確定日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milscm_2023_007.sgioy_202310_work_text.comfirm_date IS '記載確定日';</v>
      </c>
    </row>
    <row r="25" spans="1:52" s="25" customFormat="1">
      <c r="A25" s="4"/>
      <c r="B25" s="21">
        <f t="shared" si="2"/>
        <v>13</v>
      </c>
      <c r="C25" s="13" t="s">
        <v>4259</v>
      </c>
      <c r="D25" s="13" t="s">
        <v>1527</v>
      </c>
      <c r="E25" s="7"/>
      <c r="F25" s="7" t="s">
        <v>1784</v>
      </c>
      <c r="G25" s="7" t="str">
        <f t="shared" si="3"/>
        <v>text</v>
      </c>
      <c r="H25" s="58"/>
      <c r="I25" s="23"/>
      <c r="J25" s="24" t="s">
        <v>4268</v>
      </c>
      <c r="M25" s="4"/>
      <c r="N25" s="74"/>
      <c r="O25" s="74"/>
      <c r="P25" s="74" t="str">
        <f t="shared" si="4"/>
        <v>,event_date</v>
      </c>
      <c r="Q25" s="74" t="str">
        <f t="shared" si="0"/>
        <v>TEXT</v>
      </c>
      <c r="R25" s="74" t="str">
        <f t="shared" si="1"/>
        <v/>
      </c>
      <c r="S25" s="74" t="str">
        <f t="shared" si="5"/>
        <v/>
      </c>
      <c r="T25" s="74" t="str">
        <f t="shared" si="6"/>
        <v>-- イベント発生日時</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milscm_2023_007.sgioy_202310_work_text.event_date IS 'イベント発生日時';</v>
      </c>
    </row>
    <row r="26" spans="1:52" s="25" customFormat="1">
      <c r="A26" s="4"/>
      <c r="B26" s="21">
        <f t="shared" si="2"/>
        <v>14</v>
      </c>
      <c r="C26" s="13" t="s">
        <v>4260</v>
      </c>
      <c r="D26" s="13" t="s">
        <v>1442</v>
      </c>
      <c r="E26" s="7"/>
      <c r="F26" s="7" t="s">
        <v>1784</v>
      </c>
      <c r="G26" s="7" t="str">
        <f t="shared" si="3"/>
        <v>text</v>
      </c>
      <c r="H26" s="58"/>
      <c r="I26" s="23"/>
      <c r="J26" s="24" t="s">
        <v>4269</v>
      </c>
      <c r="M26" s="4"/>
      <c r="N26" s="74"/>
      <c r="O26" s="74"/>
      <c r="P26" s="74" t="str">
        <f t="shared" si="4"/>
        <v>,history_start_ymd</v>
      </c>
      <c r="Q26" s="74" t="str">
        <f t="shared" si="0"/>
        <v>TEXT</v>
      </c>
      <c r="R26" s="74" t="str">
        <f t="shared" si="1"/>
        <v/>
      </c>
      <c r="S26" s="74" t="str">
        <f t="shared" si="5"/>
        <v/>
      </c>
      <c r="T26" s="74" t="str">
        <f t="shared" si="6"/>
        <v>-- サマリ対象期間の開始日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milscm_2023_007.sgioy_202310_work_text.history_start_ymd IS 'サマリ対象期間の開始日';</v>
      </c>
    </row>
    <row r="27" spans="1:52" s="25" customFormat="1">
      <c r="A27" s="4"/>
      <c r="B27" s="21">
        <f t="shared" si="2"/>
        <v>15</v>
      </c>
      <c r="C27" s="13" t="s">
        <v>4261</v>
      </c>
      <c r="D27" s="13" t="s">
        <v>1444</v>
      </c>
      <c r="E27" s="7"/>
      <c r="F27" s="7" t="s">
        <v>1784</v>
      </c>
      <c r="G27" s="7" t="str">
        <f t="shared" si="3"/>
        <v>text</v>
      </c>
      <c r="H27" s="58"/>
      <c r="I27" s="23"/>
      <c r="J27" s="24" t="s">
        <v>4270</v>
      </c>
      <c r="M27" s="4"/>
      <c r="N27" s="74"/>
      <c r="O27" s="74"/>
      <c r="P27" s="74" t="str">
        <f t="shared" si="4"/>
        <v>,history_end_ymd</v>
      </c>
      <c r="Q27" s="74" t="str">
        <f t="shared" si="0"/>
        <v>TEXT</v>
      </c>
      <c r="R27" s="74" t="str">
        <f t="shared" si="1"/>
        <v/>
      </c>
      <c r="S27" s="74" t="str">
        <f t="shared" si="5"/>
        <v/>
      </c>
      <c r="T27" s="74" t="str">
        <f t="shared" si="6"/>
        <v>-- サマリ対象期間の終了日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milscm_2023_007.sgioy_202310_work_text.history_end_ymd IS 'サマリ対象期間の終了日';</v>
      </c>
    </row>
    <row r="28" spans="1:52" s="25" customFormat="1">
      <c r="A28" s="4"/>
      <c r="B28" s="21">
        <f t="shared" si="2"/>
        <v>16</v>
      </c>
      <c r="C28" s="13" t="s">
        <v>4262</v>
      </c>
      <c r="D28" s="13" t="s">
        <v>4263</v>
      </c>
      <c r="E28" s="7"/>
      <c r="F28" s="7" t="s">
        <v>4248</v>
      </c>
      <c r="G28" s="7" t="str">
        <f t="shared" si="3"/>
        <v>text</v>
      </c>
      <c r="H28" s="58"/>
      <c r="I28" s="23" t="s">
        <v>127</v>
      </c>
      <c r="J28" s="24" t="s">
        <v>4271</v>
      </c>
      <c r="M28" s="4"/>
      <c r="N28" s="74"/>
      <c r="O28" s="74"/>
      <c r="P28" s="74" t="str">
        <f t="shared" ref="P28" si="7">IF(B28&lt;&gt;1,","&amp;D28,D28)</f>
        <v>,original_text</v>
      </c>
      <c r="Q28" s="74" t="str">
        <f t="shared" ref="Q28" si="8">UPPER(G28)</f>
        <v>TEXT</v>
      </c>
      <c r="R28" s="74" t="str">
        <f t="shared" ref="R28" si="9">IF(H28&lt;&gt;"","default "&amp;IF(G28="text","'"&amp;H28&amp;"'",H28),"")</f>
        <v/>
      </c>
      <c r="S28" s="74" t="str">
        <f t="shared" ref="S28" si="10">IF(I28="○","NOT NULL","")</f>
        <v>NOT NULL</v>
      </c>
      <c r="T28" s="74" t="str">
        <f t="shared" ref="T28" si="11">"-- "&amp;C28</f>
        <v>-- オリジナルテキスト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milscm_2023_007.sgioy_202310_work_text.original_text IS 'オリジナルテキスト';</v>
      </c>
    </row>
    <row r="29" spans="1:52" s="25" customFormat="1" ht="35.4" thickBot="1">
      <c r="A29" s="4"/>
      <c r="B29" s="27">
        <f>ROW()-12</f>
        <v>17</v>
      </c>
      <c r="C29" s="57" t="s">
        <v>4277</v>
      </c>
      <c r="D29" s="57" t="s">
        <v>4278</v>
      </c>
      <c r="E29" s="56"/>
      <c r="F29" s="56" t="s">
        <v>203</v>
      </c>
      <c r="G29" s="56" t="str">
        <f t="shared" si="3"/>
        <v>integer</v>
      </c>
      <c r="H29" s="59"/>
      <c r="I29" s="60" t="s">
        <v>127</v>
      </c>
      <c r="J29" s="62" t="s">
        <v>4279</v>
      </c>
      <c r="N29" s="74"/>
      <c r="O29" s="74"/>
      <c r="P29" s="74" t="str">
        <f t="shared" si="4"/>
        <v>,dup_text_seq</v>
      </c>
      <c r="Q29" s="74" t="str">
        <f t="shared" si="0"/>
        <v>INTEGER</v>
      </c>
      <c r="R29" s="74" t="str">
        <f t="shared" si="1"/>
        <v/>
      </c>
      <c r="S29" s="74" t="str">
        <f t="shared" si="5"/>
        <v>NOT NULL</v>
      </c>
      <c r="T29" s="74" t="str">
        <f t="shared" si="6"/>
        <v>-- テキスト重複SEQ</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milscm_2023_007.sgioy_202310_work_text.dup_text_seq IS 'テキスト重複SEQ';</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223</vt:i4>
      </vt:variant>
      <vt:variant>
        <vt:lpstr>名前付き一覧</vt:lpstr>
      </vt:variant>
      <vt:variant>
        <vt:i4>1</vt:i4>
      </vt:variant>
    </vt:vector>
  </HeadingPairs>
  <TitlesOfParts>
    <vt:vector size="224"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MML薬剤名一覧</vt:lpstr>
      <vt:lpstr>MML薬剤マスタ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ワーク_患者基本データ_DPC</vt:lpstr>
      <vt:lpstr>ワーク_患者基本データ_RCP_MML</vt:lpstr>
      <vt:lpstr>ワーク_疾患データ_DPC</vt:lpstr>
      <vt:lpstr>ワーク_疾患データ_RCP</vt:lpstr>
      <vt:lpstr>ワーク_疾患データ_MML</vt:lpstr>
      <vt:lpstr>ワーク_入院退院_DPC</vt:lpstr>
      <vt:lpstr>ワーク_入院退院_MML</vt:lpstr>
      <vt:lpstr>ワーク_入院退院</vt:lpstr>
      <vt:lpstr>ワーク_外来_DPC</vt:lpstr>
      <vt:lpstr>ワーク_外来_MML</vt:lpstr>
      <vt:lpstr>ワーク_外来</vt:lpstr>
      <vt:lpstr>ワーク_処方データ_DPC</vt:lpstr>
      <vt:lpstr>ワーク_処方データ_MML</vt:lpstr>
      <vt:lpstr>ワーク_診療行為データ</vt:lpstr>
      <vt:lpstr>ワーク_検体検査データ_スキーマ2</vt:lpstr>
      <vt:lpstr>ワーク_検体検査データ_スキーマ4</vt:lpstr>
      <vt:lpstr>ワーク_検体検査データ</vt:lpstr>
      <vt:lpstr>ワーク_テキスト情報_一時</vt:lpstr>
      <vt:lpstr>ワーク_テキスト情報</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2023-11-08T04:27:12Z</dcterms:modified>
</cp:coreProperties>
</file>